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5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6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drawings/drawing7.xml" ContentType="application/vnd.openxmlformats-officedocument.drawing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drawings/drawing8.xml" ContentType="application/vnd.openxmlformats-officedocument.drawing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drawings/drawing9.xml" ContentType="application/vnd.openxmlformats-officedocument.drawing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drawings/drawing10.xml" ContentType="application/vnd.openxmlformats-officedocument.drawing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drawings/drawing11.xml" ContentType="application/vnd.openxmlformats-officedocument.drawing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drawings/drawing12.xml" ContentType="application/vnd.openxmlformats-officedocument.drawing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drawings/drawing13.xml" ContentType="application/vnd.openxmlformats-officedocument.drawing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drawings/drawing14.xml" ContentType="application/vnd.openxmlformats-officedocument.drawing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drawings/drawing15.xml" ContentType="application/vnd.openxmlformats-officedocument.drawing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EstaPastaDeTrabalho"/>
  <xr:revisionPtr revIDLastSave="3720" documentId="8_{A9BEC85E-3D8F-42CA-8F0A-68813B649A2A}" xr6:coauthVersionLast="47" xr6:coauthVersionMax="47" xr10:uidLastSave="{D50FACE6-BF88-491D-87CE-A2B827044A7E}"/>
  <bookViews>
    <workbookView xWindow="-110" yWindow="-110" windowWidth="19420" windowHeight="10300" activeTab="1" xr2:uid="{00000000-000D-0000-FFFF-FFFF00000000}"/>
  </bookViews>
  <sheets>
    <sheet name="INÍCIO" sheetId="2" r:id="rId1"/>
    <sheet name="RESUMO" sheetId="20" r:id="rId2"/>
    <sheet name="Gráficos por Categoria" sheetId="32" r:id="rId3"/>
    <sheet name="Jan" sheetId="7" r:id="rId4"/>
    <sheet name="Fev" sheetId="33" r:id="rId5"/>
    <sheet name="Mar" sheetId="34" r:id="rId6"/>
    <sheet name="Abr" sheetId="35" r:id="rId7"/>
    <sheet name="Mai" sheetId="36" r:id="rId8"/>
    <sheet name="Jun" sheetId="37" r:id="rId9"/>
    <sheet name="Jul" sheetId="38" r:id="rId10"/>
    <sheet name="Ago" sheetId="39" r:id="rId11"/>
    <sheet name="Set" sheetId="40" r:id="rId12"/>
    <sheet name="Out" sheetId="41" r:id="rId13"/>
    <sheet name="Nov" sheetId="42" r:id="rId14"/>
    <sheet name="Dez" sheetId="43" r:id="rId15"/>
  </sheets>
  <definedNames>
    <definedName name="_xlnm._FilterDatabase" localSheetId="6" hidden="1">Abr!$J$35:$J$36</definedName>
    <definedName name="_xlnm._FilterDatabase" localSheetId="10" hidden="1">Ago!$J$35:$J$36</definedName>
    <definedName name="_xlnm._FilterDatabase" localSheetId="14" hidden="1">Dez!$J$35:$J$36</definedName>
    <definedName name="_xlnm._FilterDatabase" localSheetId="4" hidden="1">Fev!$J$35:$J$36</definedName>
    <definedName name="_xlnm._FilterDatabase" localSheetId="3" hidden="1">Jan!$J$35:$J$36</definedName>
    <definedName name="_xlnm._FilterDatabase" localSheetId="9" hidden="1">Jul!$J$35:$J$36</definedName>
    <definedName name="_xlnm._FilterDatabase" localSheetId="8" hidden="1">Jun!$J$35:$J$36</definedName>
    <definedName name="_xlnm._FilterDatabase" localSheetId="7" hidden="1">Mai!$J$35:$J$36</definedName>
    <definedName name="_xlnm._FilterDatabase" localSheetId="5" hidden="1">Mar!$J$35:$J$36</definedName>
    <definedName name="_xlnm._FilterDatabase" localSheetId="13" hidden="1">Nov!$J$35:$J$36</definedName>
    <definedName name="_xlnm._FilterDatabase" localSheetId="12" hidden="1">Out!$J$35:$J$36</definedName>
    <definedName name="_xlnm._FilterDatabase" localSheetId="11" hidden="1">Set!$J$35:$J$36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3" l="1"/>
  <c r="E17" i="33"/>
  <c r="E18" i="33"/>
  <c r="E19" i="33"/>
  <c r="E20" i="33"/>
  <c r="E21" i="33"/>
  <c r="E22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E32" i="33" s="1"/>
  <c r="E66" i="33" s="1"/>
  <c r="E9" i="33" s="1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B73" i="33"/>
  <c r="E73" i="33"/>
  <c r="H73" i="33"/>
  <c r="B74" i="33"/>
  <c r="E74" i="33"/>
  <c r="H74" i="33"/>
  <c r="B75" i="33"/>
  <c r="E75" i="33"/>
  <c r="H75" i="33"/>
  <c r="B76" i="33"/>
  <c r="E76" i="33"/>
  <c r="I76" i="33"/>
  <c r="B77" i="33"/>
  <c r="E77" i="33"/>
  <c r="B78" i="33"/>
  <c r="E78" i="33"/>
  <c r="B79" i="33"/>
  <c r="E79" i="33"/>
  <c r="H79" i="33"/>
  <c r="B80" i="33"/>
  <c r="E80" i="33"/>
  <c r="H80" i="33"/>
  <c r="B81" i="33"/>
  <c r="E81" i="33"/>
  <c r="H81" i="33"/>
  <c r="B82" i="33"/>
  <c r="E82" i="33"/>
  <c r="H82" i="33"/>
  <c r="C83" i="33"/>
  <c r="E13" i="33" s="1"/>
  <c r="F83" i="33"/>
  <c r="I83" i="33"/>
  <c r="E23" i="33" s="1"/>
  <c r="B86" i="33"/>
  <c r="E86" i="33"/>
  <c r="H86" i="33"/>
  <c r="B87" i="33"/>
  <c r="E87" i="33"/>
  <c r="H87" i="33"/>
  <c r="B88" i="33"/>
  <c r="E88" i="33"/>
  <c r="H88" i="33"/>
  <c r="B89" i="33"/>
  <c r="E89" i="33"/>
  <c r="H89" i="33"/>
  <c r="B90" i="33"/>
  <c r="E90" i="33"/>
  <c r="H90" i="33"/>
  <c r="B91" i="33"/>
  <c r="E91" i="33"/>
  <c r="I91" i="33"/>
  <c r="E24" i="33" s="1"/>
  <c r="B92" i="33"/>
  <c r="E92" i="33"/>
  <c r="C93" i="33"/>
  <c r="E14" i="33" s="1"/>
  <c r="E93" i="33"/>
  <c r="E94" i="33"/>
  <c r="H94" i="33"/>
  <c r="E95" i="33"/>
  <c r="H95" i="33"/>
  <c r="B96" i="33"/>
  <c r="E96" i="33"/>
  <c r="H96" i="33"/>
  <c r="B97" i="33"/>
  <c r="E97" i="33"/>
  <c r="H97" i="33"/>
  <c r="B98" i="33"/>
  <c r="E98" i="33"/>
  <c r="H98" i="33"/>
  <c r="B99" i="33"/>
  <c r="E99" i="33"/>
  <c r="H99" i="33"/>
  <c r="C100" i="33"/>
  <c r="F100" i="33"/>
  <c r="F124" i="20" s="1"/>
  <c r="I100" i="33"/>
  <c r="F169" i="20" s="1"/>
  <c r="B103" i="33"/>
  <c r="E103" i="33"/>
  <c r="H103" i="33"/>
  <c r="B104" i="33"/>
  <c r="E104" i="33"/>
  <c r="H104" i="33"/>
  <c r="B105" i="33"/>
  <c r="E105" i="33"/>
  <c r="H105" i="33"/>
  <c r="B106" i="33"/>
  <c r="E106" i="33"/>
  <c r="H106" i="33"/>
  <c r="B107" i="33"/>
  <c r="E107" i="33"/>
  <c r="I107" i="33"/>
  <c r="F176" i="20" s="1"/>
  <c r="C108" i="33"/>
  <c r="E15" i="33" s="1"/>
  <c r="F108" i="33"/>
  <c r="F139" i="20" s="1"/>
  <c r="B104" i="43"/>
  <c r="B105" i="43"/>
  <c r="B106" i="43"/>
  <c r="B107" i="43"/>
  <c r="B103" i="43"/>
  <c r="E104" i="43"/>
  <c r="E105" i="43"/>
  <c r="E106" i="43"/>
  <c r="E107" i="43"/>
  <c r="E103" i="43"/>
  <c r="H104" i="43"/>
  <c r="H105" i="43"/>
  <c r="H106" i="43"/>
  <c r="H103" i="43"/>
  <c r="B97" i="43"/>
  <c r="B98" i="43"/>
  <c r="B99" i="43"/>
  <c r="B96" i="43"/>
  <c r="H95" i="43"/>
  <c r="H96" i="43"/>
  <c r="H97" i="43"/>
  <c r="H98" i="43"/>
  <c r="H99" i="43"/>
  <c r="H94" i="43"/>
  <c r="B92" i="43"/>
  <c r="B87" i="43"/>
  <c r="B88" i="43"/>
  <c r="B89" i="43"/>
  <c r="B90" i="43"/>
  <c r="B91" i="43"/>
  <c r="B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86" i="43"/>
  <c r="H87" i="43"/>
  <c r="H88" i="43"/>
  <c r="H89" i="43"/>
  <c r="H90" i="43"/>
  <c r="H86" i="43"/>
  <c r="H80" i="43"/>
  <c r="H81" i="43"/>
  <c r="H82" i="43"/>
  <c r="H79" i="43"/>
  <c r="H74" i="43"/>
  <c r="H75" i="43"/>
  <c r="H73" i="43"/>
  <c r="E74" i="43"/>
  <c r="E75" i="43"/>
  <c r="E76" i="43"/>
  <c r="E77" i="43"/>
  <c r="E78" i="43"/>
  <c r="E79" i="43"/>
  <c r="E80" i="43"/>
  <c r="E81" i="43"/>
  <c r="E82" i="43"/>
  <c r="E73" i="43"/>
  <c r="H104" i="42"/>
  <c r="H105" i="42"/>
  <c r="H106" i="42"/>
  <c r="H103" i="42"/>
  <c r="E104" i="42"/>
  <c r="E105" i="42"/>
  <c r="E106" i="42"/>
  <c r="E107" i="42"/>
  <c r="E103" i="42"/>
  <c r="B104" i="42"/>
  <c r="B105" i="42"/>
  <c r="B106" i="42"/>
  <c r="B107" i="42"/>
  <c r="B103" i="42"/>
  <c r="B97" i="42"/>
  <c r="B98" i="42"/>
  <c r="B99" i="42"/>
  <c r="B96" i="42"/>
  <c r="H95" i="42"/>
  <c r="H96" i="42"/>
  <c r="H97" i="42"/>
  <c r="H98" i="42"/>
  <c r="H99" i="42"/>
  <c r="H94" i="42"/>
  <c r="B87" i="42"/>
  <c r="B88" i="42"/>
  <c r="B89" i="42"/>
  <c r="B90" i="42"/>
  <c r="B91" i="42"/>
  <c r="B92" i="42"/>
  <c r="B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86" i="42"/>
  <c r="H87" i="42"/>
  <c r="H88" i="42"/>
  <c r="H89" i="42"/>
  <c r="H90" i="42"/>
  <c r="H86" i="42"/>
  <c r="H80" i="42"/>
  <c r="H81" i="42"/>
  <c r="H82" i="42"/>
  <c r="H79" i="42"/>
  <c r="H74" i="42"/>
  <c r="H75" i="42"/>
  <c r="H73" i="42"/>
  <c r="E74" i="42"/>
  <c r="E75" i="42"/>
  <c r="E76" i="42"/>
  <c r="E77" i="42"/>
  <c r="E78" i="42"/>
  <c r="E79" i="42"/>
  <c r="E80" i="42"/>
  <c r="E81" i="42"/>
  <c r="E82" i="42"/>
  <c r="E73" i="42"/>
  <c r="H104" i="41"/>
  <c r="H105" i="41"/>
  <c r="H106" i="41"/>
  <c r="H103" i="41"/>
  <c r="E104" i="41"/>
  <c r="E105" i="41"/>
  <c r="E106" i="41"/>
  <c r="E107" i="41"/>
  <c r="E103" i="41"/>
  <c r="B104" i="41"/>
  <c r="B105" i="41"/>
  <c r="B106" i="41"/>
  <c r="B107" i="41"/>
  <c r="B103" i="41"/>
  <c r="B97" i="41"/>
  <c r="B98" i="41"/>
  <c r="B99" i="41"/>
  <c r="B96" i="41"/>
  <c r="H95" i="41"/>
  <c r="H96" i="41"/>
  <c r="H97" i="41"/>
  <c r="H98" i="41"/>
  <c r="H99" i="41"/>
  <c r="H94" i="41"/>
  <c r="B87" i="41"/>
  <c r="B88" i="41"/>
  <c r="B89" i="41"/>
  <c r="B90" i="41"/>
  <c r="B91" i="41"/>
  <c r="B92" i="41"/>
  <c r="B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86" i="41"/>
  <c r="H87" i="41"/>
  <c r="H88" i="41"/>
  <c r="H89" i="41"/>
  <c r="H90" i="41"/>
  <c r="H86" i="41"/>
  <c r="H80" i="41"/>
  <c r="H81" i="41"/>
  <c r="H82" i="41"/>
  <c r="H79" i="41"/>
  <c r="H74" i="41"/>
  <c r="H75" i="41"/>
  <c r="H73" i="41"/>
  <c r="E74" i="41"/>
  <c r="E75" i="41"/>
  <c r="E76" i="41"/>
  <c r="E77" i="41"/>
  <c r="E78" i="41"/>
  <c r="E79" i="41"/>
  <c r="E80" i="41"/>
  <c r="E81" i="41"/>
  <c r="E82" i="41"/>
  <c r="E73" i="41"/>
  <c r="H104" i="40"/>
  <c r="H105" i="40"/>
  <c r="H106" i="40"/>
  <c r="H103" i="40"/>
  <c r="E104" i="40"/>
  <c r="E105" i="40"/>
  <c r="E106" i="40"/>
  <c r="E107" i="40"/>
  <c r="E103" i="40"/>
  <c r="B104" i="40"/>
  <c r="B105" i="40"/>
  <c r="B106" i="40"/>
  <c r="B107" i="40"/>
  <c r="B103" i="40"/>
  <c r="B97" i="40"/>
  <c r="B98" i="40"/>
  <c r="B99" i="40"/>
  <c r="B96" i="40"/>
  <c r="H99" i="40"/>
  <c r="H95" i="40"/>
  <c r="H96" i="40"/>
  <c r="H97" i="40"/>
  <c r="H98" i="40"/>
  <c r="H94" i="40"/>
  <c r="H87" i="40"/>
  <c r="H88" i="40"/>
  <c r="H89" i="40"/>
  <c r="H90" i="40"/>
  <c r="H86" i="40"/>
  <c r="B87" i="40"/>
  <c r="B88" i="40"/>
  <c r="B89" i="40"/>
  <c r="B90" i="40"/>
  <c r="B91" i="40"/>
  <c r="B92" i="40"/>
  <c r="B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86" i="40"/>
  <c r="H80" i="40"/>
  <c r="H81" i="40"/>
  <c r="H82" i="40"/>
  <c r="H79" i="40"/>
  <c r="H74" i="40"/>
  <c r="H75" i="40"/>
  <c r="H73" i="40"/>
  <c r="E74" i="40"/>
  <c r="E75" i="40"/>
  <c r="E76" i="40"/>
  <c r="E77" i="40"/>
  <c r="E78" i="40"/>
  <c r="E79" i="40"/>
  <c r="E80" i="40"/>
  <c r="E81" i="40"/>
  <c r="E82" i="40"/>
  <c r="E73" i="40"/>
  <c r="B104" i="39"/>
  <c r="B105" i="39"/>
  <c r="B106" i="39"/>
  <c r="B107" i="39"/>
  <c r="B103" i="39"/>
  <c r="E104" i="39"/>
  <c r="E105" i="39"/>
  <c r="E106" i="39"/>
  <c r="E107" i="39"/>
  <c r="E103" i="39"/>
  <c r="H104" i="39"/>
  <c r="H105" i="39"/>
  <c r="H106" i="39"/>
  <c r="H103" i="39"/>
  <c r="H95" i="39"/>
  <c r="H96" i="39"/>
  <c r="H97" i="39"/>
  <c r="H98" i="39"/>
  <c r="H99" i="39"/>
  <c r="H94" i="39"/>
  <c r="B97" i="39"/>
  <c r="B98" i="39"/>
  <c r="B99" i="39"/>
  <c r="B96" i="39"/>
  <c r="B87" i="39"/>
  <c r="B88" i="39"/>
  <c r="B89" i="39"/>
  <c r="B90" i="39"/>
  <c r="B91" i="39"/>
  <c r="B92" i="39"/>
  <c r="B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86" i="39"/>
  <c r="H87" i="39"/>
  <c r="H88" i="39"/>
  <c r="H89" i="39"/>
  <c r="H90" i="39"/>
  <c r="H86" i="39"/>
  <c r="H80" i="39"/>
  <c r="H81" i="39"/>
  <c r="H82" i="39"/>
  <c r="H79" i="39"/>
  <c r="H74" i="39"/>
  <c r="H75" i="39"/>
  <c r="H73" i="39"/>
  <c r="E74" i="39"/>
  <c r="E75" i="39"/>
  <c r="E76" i="39"/>
  <c r="E77" i="39"/>
  <c r="E78" i="39"/>
  <c r="E79" i="39"/>
  <c r="E80" i="39"/>
  <c r="E81" i="39"/>
  <c r="E82" i="39"/>
  <c r="E73" i="39"/>
  <c r="H95" i="38"/>
  <c r="H96" i="38"/>
  <c r="H97" i="38"/>
  <c r="H98" i="38"/>
  <c r="H99" i="38"/>
  <c r="H94" i="38"/>
  <c r="H104" i="38"/>
  <c r="H105" i="38"/>
  <c r="H106" i="38"/>
  <c r="H103" i="38"/>
  <c r="E104" i="38"/>
  <c r="E105" i="38"/>
  <c r="E106" i="38"/>
  <c r="E107" i="38"/>
  <c r="E103" i="38"/>
  <c r="B104" i="38"/>
  <c r="B105" i="38"/>
  <c r="B106" i="38"/>
  <c r="B107" i="38"/>
  <c r="B103" i="38"/>
  <c r="B97" i="38"/>
  <c r="B98" i="38"/>
  <c r="B99" i="38"/>
  <c r="B96" i="38"/>
  <c r="B87" i="38"/>
  <c r="B88" i="38"/>
  <c r="B89" i="38"/>
  <c r="B90" i="38"/>
  <c r="B91" i="38"/>
  <c r="B92" i="38"/>
  <c r="B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86" i="38"/>
  <c r="H87" i="38"/>
  <c r="H88" i="38"/>
  <c r="H89" i="38"/>
  <c r="H90" i="38"/>
  <c r="H86" i="38"/>
  <c r="H80" i="38"/>
  <c r="H81" i="38"/>
  <c r="H82" i="38"/>
  <c r="H79" i="38"/>
  <c r="H74" i="38"/>
  <c r="H75" i="38"/>
  <c r="H73" i="38"/>
  <c r="E74" i="38"/>
  <c r="E75" i="38"/>
  <c r="E76" i="38"/>
  <c r="E77" i="38"/>
  <c r="E78" i="38"/>
  <c r="E79" i="38"/>
  <c r="E80" i="38"/>
  <c r="E81" i="38"/>
  <c r="E82" i="38"/>
  <c r="E73" i="38"/>
  <c r="B87" i="37"/>
  <c r="B88" i="37"/>
  <c r="B89" i="37"/>
  <c r="B90" i="37"/>
  <c r="B91" i="37"/>
  <c r="B92" i="37"/>
  <c r="B86" i="37"/>
  <c r="B97" i="37"/>
  <c r="B98" i="37"/>
  <c r="B99" i="37"/>
  <c r="B96" i="37"/>
  <c r="B104" i="37"/>
  <c r="B105" i="37"/>
  <c r="B106" i="37"/>
  <c r="B107" i="37"/>
  <c r="B103" i="37"/>
  <c r="H95" i="37"/>
  <c r="H96" i="37"/>
  <c r="H97" i="37"/>
  <c r="H98" i="37"/>
  <c r="H99" i="37"/>
  <c r="H94" i="37"/>
  <c r="H104" i="37"/>
  <c r="H105" i="37"/>
  <c r="H106" i="37"/>
  <c r="H103" i="37"/>
  <c r="E104" i="37"/>
  <c r="E105" i="37"/>
  <c r="E106" i="37"/>
  <c r="E107" i="37"/>
  <c r="E103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86" i="37"/>
  <c r="H87" i="37"/>
  <c r="H88" i="37"/>
  <c r="H89" i="37"/>
  <c r="H90" i="37"/>
  <c r="H86" i="37"/>
  <c r="H80" i="37"/>
  <c r="H81" i="37"/>
  <c r="H82" i="37"/>
  <c r="H79" i="37"/>
  <c r="H74" i="37"/>
  <c r="H75" i="37"/>
  <c r="H73" i="37"/>
  <c r="E74" i="37"/>
  <c r="E75" i="37"/>
  <c r="E76" i="37"/>
  <c r="E77" i="37"/>
  <c r="E78" i="37"/>
  <c r="E79" i="37"/>
  <c r="E80" i="37"/>
  <c r="E81" i="37"/>
  <c r="E82" i="37"/>
  <c r="E73" i="37"/>
  <c r="B87" i="36"/>
  <c r="B88" i="36"/>
  <c r="B89" i="36"/>
  <c r="B90" i="36"/>
  <c r="B91" i="36"/>
  <c r="B92" i="36"/>
  <c r="B86" i="36"/>
  <c r="B97" i="36"/>
  <c r="B98" i="36"/>
  <c r="B99" i="36"/>
  <c r="B96" i="36"/>
  <c r="B104" i="36"/>
  <c r="B105" i="36"/>
  <c r="B106" i="36"/>
  <c r="B107" i="36"/>
  <c r="B103" i="36"/>
  <c r="E103" i="36"/>
  <c r="E104" i="36"/>
  <c r="E105" i="36"/>
  <c r="E106" i="36"/>
  <c r="E107" i="36"/>
  <c r="I135" i="20"/>
  <c r="I136" i="20"/>
  <c r="I137" i="20"/>
  <c r="I138" i="20"/>
  <c r="H103" i="36"/>
  <c r="H104" i="36"/>
  <c r="H105" i="36"/>
  <c r="H106" i="36"/>
  <c r="H95" i="36"/>
  <c r="H96" i="36"/>
  <c r="H97" i="36"/>
  <c r="H98" i="36"/>
  <c r="H99" i="36"/>
  <c r="H94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86" i="36"/>
  <c r="H87" i="36"/>
  <c r="H88" i="36"/>
  <c r="H89" i="36"/>
  <c r="H90" i="36"/>
  <c r="H86" i="36"/>
  <c r="H80" i="36"/>
  <c r="H81" i="36"/>
  <c r="H82" i="36"/>
  <c r="H79" i="36"/>
  <c r="H74" i="36"/>
  <c r="H75" i="36"/>
  <c r="H73" i="36"/>
  <c r="E74" i="36"/>
  <c r="E75" i="36"/>
  <c r="E76" i="36"/>
  <c r="E77" i="36"/>
  <c r="E78" i="36"/>
  <c r="E79" i="36"/>
  <c r="E80" i="36"/>
  <c r="E81" i="36"/>
  <c r="E82" i="36"/>
  <c r="E73" i="36"/>
  <c r="H104" i="35"/>
  <c r="H105" i="35"/>
  <c r="H106" i="35"/>
  <c r="H103" i="35"/>
  <c r="E104" i="35"/>
  <c r="E105" i="35"/>
  <c r="E106" i="35"/>
  <c r="E107" i="35"/>
  <c r="E103" i="35"/>
  <c r="B104" i="35"/>
  <c r="B105" i="35"/>
  <c r="B106" i="35"/>
  <c r="B107" i="35"/>
  <c r="B103" i="35"/>
  <c r="B97" i="35"/>
  <c r="B98" i="35"/>
  <c r="B99" i="35"/>
  <c r="B96" i="35"/>
  <c r="B87" i="35"/>
  <c r="B88" i="35"/>
  <c r="B89" i="35"/>
  <c r="B90" i="35"/>
  <c r="B91" i="35"/>
  <c r="B92" i="35"/>
  <c r="B86" i="35"/>
  <c r="H95" i="35"/>
  <c r="H96" i="35"/>
  <c r="H97" i="35"/>
  <c r="H98" i="35"/>
  <c r="H99" i="35"/>
  <c r="H94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86" i="35"/>
  <c r="H87" i="35"/>
  <c r="H88" i="35"/>
  <c r="H89" i="35"/>
  <c r="H90" i="35"/>
  <c r="H86" i="35"/>
  <c r="H80" i="35"/>
  <c r="H81" i="35"/>
  <c r="H82" i="35"/>
  <c r="H79" i="35"/>
  <c r="H74" i="35"/>
  <c r="H75" i="35"/>
  <c r="H73" i="35"/>
  <c r="E74" i="35"/>
  <c r="E75" i="35"/>
  <c r="E76" i="35"/>
  <c r="E77" i="35"/>
  <c r="E78" i="35"/>
  <c r="E79" i="35"/>
  <c r="E80" i="35"/>
  <c r="E81" i="35"/>
  <c r="E82" i="35"/>
  <c r="E73" i="35"/>
  <c r="H104" i="34"/>
  <c r="H105" i="34"/>
  <c r="H106" i="34"/>
  <c r="H103" i="34"/>
  <c r="E104" i="34"/>
  <c r="E105" i="34"/>
  <c r="E106" i="34"/>
  <c r="E107" i="34"/>
  <c r="E103" i="34"/>
  <c r="B104" i="34"/>
  <c r="B105" i="34"/>
  <c r="B106" i="34"/>
  <c r="B107" i="34"/>
  <c r="B103" i="34"/>
  <c r="B97" i="34"/>
  <c r="B98" i="34"/>
  <c r="B99" i="34"/>
  <c r="B96" i="34"/>
  <c r="B87" i="34"/>
  <c r="B88" i="34"/>
  <c r="B89" i="34"/>
  <c r="B90" i="34"/>
  <c r="B91" i="34"/>
  <c r="B92" i="34"/>
  <c r="B86" i="34"/>
  <c r="H95" i="34"/>
  <c r="H96" i="34"/>
  <c r="H97" i="34"/>
  <c r="H98" i="34"/>
  <c r="H99" i="34"/>
  <c r="H94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86" i="34"/>
  <c r="H87" i="34"/>
  <c r="H88" i="34"/>
  <c r="H89" i="34"/>
  <c r="H90" i="34"/>
  <c r="H86" i="34"/>
  <c r="H80" i="34"/>
  <c r="H81" i="34"/>
  <c r="H82" i="34"/>
  <c r="H79" i="34"/>
  <c r="H74" i="34"/>
  <c r="H75" i="34"/>
  <c r="H73" i="34"/>
  <c r="E74" i="34"/>
  <c r="E75" i="34"/>
  <c r="E76" i="34"/>
  <c r="E77" i="34"/>
  <c r="E78" i="34"/>
  <c r="E79" i="34"/>
  <c r="E80" i="34"/>
  <c r="E81" i="34"/>
  <c r="E82" i="34"/>
  <c r="E73" i="34"/>
  <c r="I76" i="7"/>
  <c r="E22" i="7" s="1"/>
  <c r="E58" i="20"/>
  <c r="F58" i="20"/>
  <c r="G58" i="20"/>
  <c r="H58" i="20"/>
  <c r="I58" i="20"/>
  <c r="J58" i="20"/>
  <c r="K58" i="20"/>
  <c r="L58" i="20"/>
  <c r="M58" i="20"/>
  <c r="N58" i="20"/>
  <c r="O58" i="20"/>
  <c r="P58" i="20"/>
  <c r="F57" i="20"/>
  <c r="G57" i="20"/>
  <c r="H57" i="20"/>
  <c r="I57" i="20"/>
  <c r="J57" i="20"/>
  <c r="K57" i="20"/>
  <c r="L57" i="20"/>
  <c r="M57" i="20"/>
  <c r="N57" i="20"/>
  <c r="O57" i="20"/>
  <c r="P57" i="20"/>
  <c r="E57" i="20"/>
  <c r="F173" i="20"/>
  <c r="G173" i="20"/>
  <c r="H173" i="20"/>
  <c r="I173" i="20"/>
  <c r="J173" i="20"/>
  <c r="K173" i="20"/>
  <c r="L173" i="20"/>
  <c r="M173" i="20"/>
  <c r="N173" i="20"/>
  <c r="O173" i="20"/>
  <c r="P173" i="20"/>
  <c r="F174" i="20"/>
  <c r="G174" i="20"/>
  <c r="H174" i="20"/>
  <c r="I174" i="20"/>
  <c r="J174" i="20"/>
  <c r="K174" i="20"/>
  <c r="L174" i="20"/>
  <c r="M174" i="20"/>
  <c r="N174" i="20"/>
  <c r="O174" i="20"/>
  <c r="P174" i="20"/>
  <c r="F175" i="20"/>
  <c r="G175" i="20"/>
  <c r="H175" i="20"/>
  <c r="I175" i="20"/>
  <c r="J175" i="20"/>
  <c r="K175" i="20"/>
  <c r="L175" i="20"/>
  <c r="M175" i="20"/>
  <c r="N175" i="20"/>
  <c r="O175" i="20"/>
  <c r="P175" i="20"/>
  <c r="G176" i="20"/>
  <c r="H176" i="20"/>
  <c r="J176" i="20"/>
  <c r="K176" i="20"/>
  <c r="L176" i="20"/>
  <c r="N176" i="20"/>
  <c r="O176" i="20"/>
  <c r="P176" i="20"/>
  <c r="P172" i="20"/>
  <c r="O172" i="20"/>
  <c r="N172" i="20"/>
  <c r="M172" i="20"/>
  <c r="L172" i="20"/>
  <c r="K172" i="20"/>
  <c r="J172" i="20"/>
  <c r="I172" i="20"/>
  <c r="H172" i="20"/>
  <c r="G172" i="20"/>
  <c r="F172" i="20"/>
  <c r="F164" i="20"/>
  <c r="G164" i="20"/>
  <c r="H164" i="20"/>
  <c r="I164" i="20"/>
  <c r="J164" i="20"/>
  <c r="K164" i="20"/>
  <c r="L164" i="20"/>
  <c r="M164" i="20"/>
  <c r="N164" i="20"/>
  <c r="O164" i="20"/>
  <c r="P164" i="20"/>
  <c r="F165" i="20"/>
  <c r="G165" i="20"/>
  <c r="H165" i="20"/>
  <c r="I165" i="20"/>
  <c r="J165" i="20"/>
  <c r="K165" i="20"/>
  <c r="L165" i="20"/>
  <c r="M165" i="20"/>
  <c r="N165" i="20"/>
  <c r="O165" i="20"/>
  <c r="P165" i="20"/>
  <c r="F166" i="20"/>
  <c r="G166" i="20"/>
  <c r="H166" i="20"/>
  <c r="I166" i="20"/>
  <c r="J166" i="20"/>
  <c r="K166" i="20"/>
  <c r="L166" i="20"/>
  <c r="M166" i="20"/>
  <c r="N166" i="20"/>
  <c r="O166" i="20"/>
  <c r="P166" i="20"/>
  <c r="F167" i="20"/>
  <c r="G167" i="20"/>
  <c r="H167" i="20"/>
  <c r="I167" i="20"/>
  <c r="J167" i="20"/>
  <c r="K167" i="20"/>
  <c r="L167" i="20"/>
  <c r="M167" i="20"/>
  <c r="N167" i="20"/>
  <c r="O167" i="20"/>
  <c r="P167" i="20"/>
  <c r="F168" i="20"/>
  <c r="G168" i="20"/>
  <c r="H168" i="20"/>
  <c r="I168" i="20"/>
  <c r="J168" i="20"/>
  <c r="K168" i="20"/>
  <c r="L168" i="20"/>
  <c r="M168" i="20"/>
  <c r="N168" i="20"/>
  <c r="O168" i="20"/>
  <c r="P168" i="20"/>
  <c r="G169" i="20"/>
  <c r="H169" i="20"/>
  <c r="J169" i="20"/>
  <c r="K169" i="20"/>
  <c r="L169" i="20"/>
  <c r="N169" i="20"/>
  <c r="O169" i="20"/>
  <c r="P169" i="20"/>
  <c r="P163" i="20"/>
  <c r="O163" i="20"/>
  <c r="N163" i="20"/>
  <c r="M163" i="20"/>
  <c r="L163" i="20"/>
  <c r="K163" i="20"/>
  <c r="J163" i="20"/>
  <c r="I163" i="20"/>
  <c r="H163" i="20"/>
  <c r="G163" i="20"/>
  <c r="F163" i="20"/>
  <c r="F156" i="20"/>
  <c r="G156" i="20"/>
  <c r="H156" i="20"/>
  <c r="I156" i="20"/>
  <c r="J156" i="20"/>
  <c r="K156" i="20"/>
  <c r="L156" i="20"/>
  <c r="M156" i="20"/>
  <c r="N156" i="20"/>
  <c r="O156" i="20"/>
  <c r="P156" i="20"/>
  <c r="F157" i="20"/>
  <c r="G157" i="20"/>
  <c r="H157" i="20"/>
  <c r="I157" i="20"/>
  <c r="J157" i="20"/>
  <c r="K157" i="20"/>
  <c r="L157" i="20"/>
  <c r="M157" i="20"/>
  <c r="N157" i="20"/>
  <c r="O157" i="20"/>
  <c r="P157" i="20"/>
  <c r="F158" i="20"/>
  <c r="G158" i="20"/>
  <c r="H158" i="20"/>
  <c r="I158" i="20"/>
  <c r="J158" i="20"/>
  <c r="K158" i="20"/>
  <c r="L158" i="20"/>
  <c r="M158" i="20"/>
  <c r="N158" i="20"/>
  <c r="O158" i="20"/>
  <c r="P158" i="20"/>
  <c r="F159" i="20"/>
  <c r="G159" i="20"/>
  <c r="H159" i="20"/>
  <c r="I159" i="20"/>
  <c r="J159" i="20"/>
  <c r="K159" i="20"/>
  <c r="L159" i="20"/>
  <c r="M159" i="20"/>
  <c r="N159" i="20"/>
  <c r="O159" i="20"/>
  <c r="P159" i="20"/>
  <c r="G160" i="20"/>
  <c r="H160" i="20"/>
  <c r="J160" i="20"/>
  <c r="K160" i="20"/>
  <c r="L160" i="20"/>
  <c r="N160" i="20"/>
  <c r="O160" i="20"/>
  <c r="P160" i="20"/>
  <c r="F149" i="20"/>
  <c r="G149" i="20"/>
  <c r="H149" i="20"/>
  <c r="I149" i="20"/>
  <c r="J149" i="20"/>
  <c r="K149" i="20"/>
  <c r="L149" i="20"/>
  <c r="M149" i="20"/>
  <c r="N149" i="20"/>
  <c r="O149" i="20"/>
  <c r="P149" i="20"/>
  <c r="F150" i="20"/>
  <c r="G150" i="20"/>
  <c r="H150" i="20"/>
  <c r="I150" i="20"/>
  <c r="J150" i="20"/>
  <c r="K150" i="20"/>
  <c r="L150" i="20"/>
  <c r="M150" i="20"/>
  <c r="N150" i="20"/>
  <c r="O150" i="20"/>
  <c r="P150" i="20"/>
  <c r="F151" i="20"/>
  <c r="G151" i="20"/>
  <c r="H151" i="20"/>
  <c r="I151" i="20"/>
  <c r="J151" i="20"/>
  <c r="K151" i="20"/>
  <c r="L151" i="20"/>
  <c r="M151" i="20"/>
  <c r="N151" i="20"/>
  <c r="O151" i="20"/>
  <c r="P151" i="20"/>
  <c r="G152" i="20"/>
  <c r="H152" i="20"/>
  <c r="J152" i="20"/>
  <c r="K152" i="20"/>
  <c r="L152" i="20"/>
  <c r="M152" i="20"/>
  <c r="N152" i="20"/>
  <c r="O152" i="20"/>
  <c r="P152" i="20"/>
  <c r="F143" i="20"/>
  <c r="G143" i="20"/>
  <c r="H143" i="20"/>
  <c r="I143" i="20"/>
  <c r="J143" i="20"/>
  <c r="K143" i="20"/>
  <c r="L143" i="20"/>
  <c r="M143" i="20"/>
  <c r="N143" i="20"/>
  <c r="O143" i="20"/>
  <c r="P143" i="20"/>
  <c r="F144" i="20"/>
  <c r="G144" i="20"/>
  <c r="H144" i="20"/>
  <c r="I144" i="20"/>
  <c r="J144" i="20"/>
  <c r="K144" i="20"/>
  <c r="L144" i="20"/>
  <c r="M144" i="20"/>
  <c r="N144" i="20"/>
  <c r="O144" i="20"/>
  <c r="P144" i="20"/>
  <c r="G145" i="20"/>
  <c r="H145" i="20"/>
  <c r="J145" i="20"/>
  <c r="K145" i="20"/>
  <c r="L145" i="20"/>
  <c r="N145" i="20"/>
  <c r="O145" i="20"/>
  <c r="P145" i="20"/>
  <c r="F135" i="20"/>
  <c r="G135" i="20"/>
  <c r="H135" i="20"/>
  <c r="J135" i="20"/>
  <c r="K135" i="20"/>
  <c r="L135" i="20"/>
  <c r="M135" i="20"/>
  <c r="N135" i="20"/>
  <c r="O135" i="20"/>
  <c r="P135" i="20"/>
  <c r="F136" i="20"/>
  <c r="G136" i="20"/>
  <c r="H136" i="20"/>
  <c r="J136" i="20"/>
  <c r="K136" i="20"/>
  <c r="L136" i="20"/>
  <c r="M136" i="20"/>
  <c r="N136" i="20"/>
  <c r="O136" i="20"/>
  <c r="P136" i="20"/>
  <c r="F137" i="20"/>
  <c r="G137" i="20"/>
  <c r="H137" i="20"/>
  <c r="J137" i="20"/>
  <c r="K137" i="20"/>
  <c r="L137" i="20"/>
  <c r="M137" i="20"/>
  <c r="N137" i="20"/>
  <c r="O137" i="20"/>
  <c r="P137" i="20"/>
  <c r="F138" i="20"/>
  <c r="G138" i="20"/>
  <c r="H138" i="20"/>
  <c r="J138" i="20"/>
  <c r="K138" i="20"/>
  <c r="L138" i="20"/>
  <c r="M138" i="20"/>
  <c r="N138" i="20"/>
  <c r="O138" i="20"/>
  <c r="P138" i="20"/>
  <c r="G139" i="20"/>
  <c r="H139" i="20"/>
  <c r="J139" i="20"/>
  <c r="K139" i="20"/>
  <c r="L139" i="20"/>
  <c r="N139" i="20"/>
  <c r="O139" i="20"/>
  <c r="P139" i="20"/>
  <c r="P155" i="20"/>
  <c r="O155" i="20"/>
  <c r="N155" i="20"/>
  <c r="M155" i="20"/>
  <c r="K155" i="20"/>
  <c r="J155" i="20"/>
  <c r="I155" i="20"/>
  <c r="H155" i="20"/>
  <c r="G155" i="20"/>
  <c r="F155" i="20"/>
  <c r="L155" i="20"/>
  <c r="P148" i="20"/>
  <c r="O148" i="20"/>
  <c r="N148" i="20"/>
  <c r="M148" i="20"/>
  <c r="L148" i="20"/>
  <c r="K148" i="20"/>
  <c r="J148" i="20"/>
  <c r="I148" i="20"/>
  <c r="H148" i="20"/>
  <c r="G148" i="20"/>
  <c r="F148" i="20"/>
  <c r="P142" i="20"/>
  <c r="O142" i="20"/>
  <c r="N142" i="20"/>
  <c r="M142" i="20"/>
  <c r="L142" i="20"/>
  <c r="K142" i="20"/>
  <c r="J142" i="20"/>
  <c r="I142" i="20"/>
  <c r="H142" i="20"/>
  <c r="G142" i="20"/>
  <c r="F142" i="20"/>
  <c r="P134" i="20"/>
  <c r="O134" i="20"/>
  <c r="N134" i="20"/>
  <c r="M134" i="20"/>
  <c r="L134" i="20"/>
  <c r="K134" i="20"/>
  <c r="J134" i="20"/>
  <c r="I134" i="20"/>
  <c r="H134" i="20"/>
  <c r="G134" i="20"/>
  <c r="F134" i="20"/>
  <c r="F128" i="20"/>
  <c r="G128" i="20"/>
  <c r="H128" i="20"/>
  <c r="I128" i="20"/>
  <c r="J128" i="20"/>
  <c r="K128" i="20"/>
  <c r="L128" i="20"/>
  <c r="M128" i="20"/>
  <c r="N128" i="20"/>
  <c r="O128" i="20"/>
  <c r="P128" i="20"/>
  <c r="F129" i="20"/>
  <c r="G129" i="20"/>
  <c r="H129" i="20"/>
  <c r="I129" i="20"/>
  <c r="J129" i="20"/>
  <c r="K129" i="20"/>
  <c r="L129" i="20"/>
  <c r="M129" i="20"/>
  <c r="N129" i="20"/>
  <c r="O129" i="20"/>
  <c r="P129" i="20"/>
  <c r="F130" i="20"/>
  <c r="G130" i="20"/>
  <c r="H130" i="20"/>
  <c r="I130" i="20"/>
  <c r="J130" i="20"/>
  <c r="K130" i="20"/>
  <c r="L130" i="20"/>
  <c r="M130" i="20"/>
  <c r="N130" i="20"/>
  <c r="O130" i="20"/>
  <c r="P130" i="20"/>
  <c r="G131" i="20"/>
  <c r="H131" i="20"/>
  <c r="I131" i="20"/>
  <c r="J131" i="20"/>
  <c r="K131" i="20"/>
  <c r="L131" i="20"/>
  <c r="M131" i="20"/>
  <c r="N131" i="20"/>
  <c r="O131" i="20"/>
  <c r="P131" i="20"/>
  <c r="P127" i="20"/>
  <c r="O127" i="20"/>
  <c r="N127" i="20"/>
  <c r="M127" i="20"/>
  <c r="L127" i="20"/>
  <c r="K127" i="20"/>
  <c r="J127" i="20"/>
  <c r="I127" i="20"/>
  <c r="H127" i="20"/>
  <c r="G127" i="20"/>
  <c r="F127" i="20"/>
  <c r="F111" i="20"/>
  <c r="G111" i="20"/>
  <c r="H111" i="20"/>
  <c r="I111" i="20"/>
  <c r="J111" i="20"/>
  <c r="K111" i="20"/>
  <c r="L111" i="20"/>
  <c r="M111" i="20"/>
  <c r="N111" i="20"/>
  <c r="O111" i="20"/>
  <c r="P111" i="20"/>
  <c r="F112" i="20"/>
  <c r="G112" i="20"/>
  <c r="H112" i="20"/>
  <c r="I112" i="20"/>
  <c r="J112" i="20"/>
  <c r="K112" i="20"/>
  <c r="L112" i="20"/>
  <c r="M112" i="20"/>
  <c r="N112" i="20"/>
  <c r="O112" i="20"/>
  <c r="P112" i="20"/>
  <c r="F113" i="20"/>
  <c r="G113" i="20"/>
  <c r="H113" i="20"/>
  <c r="I113" i="20"/>
  <c r="J113" i="20"/>
  <c r="K113" i="20"/>
  <c r="L113" i="20"/>
  <c r="M113" i="20"/>
  <c r="N113" i="20"/>
  <c r="O113" i="20"/>
  <c r="P113" i="20"/>
  <c r="F114" i="20"/>
  <c r="G114" i="20"/>
  <c r="H114" i="20"/>
  <c r="I114" i="20"/>
  <c r="J114" i="20"/>
  <c r="K114" i="20"/>
  <c r="L114" i="20"/>
  <c r="M114" i="20"/>
  <c r="N114" i="20"/>
  <c r="O114" i="20"/>
  <c r="P114" i="20"/>
  <c r="F115" i="20"/>
  <c r="G115" i="20"/>
  <c r="H115" i="20"/>
  <c r="I115" i="20"/>
  <c r="J115" i="20"/>
  <c r="K115" i="20"/>
  <c r="L115" i="20"/>
  <c r="M115" i="20"/>
  <c r="N115" i="20"/>
  <c r="O115" i="20"/>
  <c r="P115" i="20"/>
  <c r="F116" i="20"/>
  <c r="G116" i="20"/>
  <c r="H116" i="20"/>
  <c r="I116" i="20"/>
  <c r="J116" i="20"/>
  <c r="K116" i="20"/>
  <c r="L116" i="20"/>
  <c r="M116" i="20"/>
  <c r="N116" i="20"/>
  <c r="O116" i="20"/>
  <c r="P116" i="20"/>
  <c r="F117" i="20"/>
  <c r="G117" i="20"/>
  <c r="H117" i="20"/>
  <c r="I117" i="20"/>
  <c r="J117" i="20"/>
  <c r="K117" i="20"/>
  <c r="L117" i="20"/>
  <c r="M117" i="20"/>
  <c r="N117" i="20"/>
  <c r="O117" i="20"/>
  <c r="P117" i="20"/>
  <c r="F118" i="20"/>
  <c r="G118" i="20"/>
  <c r="H118" i="20"/>
  <c r="I118" i="20"/>
  <c r="J118" i="20"/>
  <c r="K118" i="20"/>
  <c r="L118" i="20"/>
  <c r="M118" i="20"/>
  <c r="N118" i="20"/>
  <c r="O118" i="20"/>
  <c r="P118" i="20"/>
  <c r="F119" i="20"/>
  <c r="G119" i="20"/>
  <c r="H119" i="20"/>
  <c r="I119" i="20"/>
  <c r="J119" i="20"/>
  <c r="K119" i="20"/>
  <c r="L119" i="20"/>
  <c r="M119" i="20"/>
  <c r="N119" i="20"/>
  <c r="O119" i="20"/>
  <c r="P119" i="20"/>
  <c r="F120" i="20"/>
  <c r="G120" i="20"/>
  <c r="H120" i="20"/>
  <c r="I120" i="20"/>
  <c r="J120" i="20"/>
  <c r="K120" i="20"/>
  <c r="L120" i="20"/>
  <c r="M120" i="20"/>
  <c r="N120" i="20"/>
  <c r="O120" i="20"/>
  <c r="P120" i="20"/>
  <c r="F121" i="20"/>
  <c r="G121" i="20"/>
  <c r="H121" i="20"/>
  <c r="I121" i="20"/>
  <c r="J121" i="20"/>
  <c r="K121" i="20"/>
  <c r="L121" i="20"/>
  <c r="M121" i="20"/>
  <c r="N121" i="20"/>
  <c r="O121" i="20"/>
  <c r="P121" i="20"/>
  <c r="F122" i="20"/>
  <c r="G122" i="20"/>
  <c r="H122" i="20"/>
  <c r="I122" i="20"/>
  <c r="J122" i="20"/>
  <c r="K122" i="20"/>
  <c r="L122" i="20"/>
  <c r="M122" i="20"/>
  <c r="N122" i="20"/>
  <c r="O122" i="20"/>
  <c r="P122" i="20"/>
  <c r="F123" i="20"/>
  <c r="G123" i="20"/>
  <c r="H123" i="20"/>
  <c r="I123" i="20"/>
  <c r="J123" i="20"/>
  <c r="K123" i="20"/>
  <c r="L123" i="20"/>
  <c r="M123" i="20"/>
  <c r="N123" i="20"/>
  <c r="O123" i="20"/>
  <c r="P123" i="20"/>
  <c r="G124" i="20"/>
  <c r="H124" i="20"/>
  <c r="J124" i="20"/>
  <c r="K124" i="20"/>
  <c r="L124" i="20"/>
  <c r="N124" i="20"/>
  <c r="O124" i="20"/>
  <c r="P124" i="20"/>
  <c r="P110" i="20"/>
  <c r="O110" i="20"/>
  <c r="N110" i="20"/>
  <c r="M110" i="20"/>
  <c r="L110" i="20"/>
  <c r="K110" i="20"/>
  <c r="J110" i="20"/>
  <c r="I110" i="20"/>
  <c r="H110" i="20"/>
  <c r="G110" i="20"/>
  <c r="F110" i="20"/>
  <c r="F98" i="20"/>
  <c r="G98" i="20"/>
  <c r="H98" i="20"/>
  <c r="I98" i="20"/>
  <c r="J98" i="20"/>
  <c r="K98" i="20"/>
  <c r="L98" i="20"/>
  <c r="M98" i="20"/>
  <c r="N98" i="20"/>
  <c r="O98" i="20"/>
  <c r="P98" i="20"/>
  <c r="F99" i="20"/>
  <c r="G99" i="20"/>
  <c r="H99" i="20"/>
  <c r="I99" i="20"/>
  <c r="J99" i="20"/>
  <c r="K99" i="20"/>
  <c r="L99" i="20"/>
  <c r="M99" i="20"/>
  <c r="N99" i="20"/>
  <c r="O99" i="20"/>
  <c r="P99" i="20"/>
  <c r="F100" i="20"/>
  <c r="G100" i="20"/>
  <c r="H100" i="20"/>
  <c r="I100" i="20"/>
  <c r="J100" i="20"/>
  <c r="K100" i="20"/>
  <c r="L100" i="20"/>
  <c r="M100" i="20"/>
  <c r="N100" i="20"/>
  <c r="O100" i="20"/>
  <c r="P100" i="20"/>
  <c r="F101" i="20"/>
  <c r="G101" i="20"/>
  <c r="H101" i="20"/>
  <c r="I101" i="20"/>
  <c r="J101" i="20"/>
  <c r="K101" i="20"/>
  <c r="L101" i="20"/>
  <c r="M101" i="20"/>
  <c r="N101" i="20"/>
  <c r="O101" i="20"/>
  <c r="P101" i="20"/>
  <c r="F102" i="20"/>
  <c r="G102" i="20"/>
  <c r="H102" i="20"/>
  <c r="I102" i="20"/>
  <c r="J102" i="20"/>
  <c r="K102" i="20"/>
  <c r="L102" i="20"/>
  <c r="M102" i="20"/>
  <c r="N102" i="20"/>
  <c r="O102" i="20"/>
  <c r="P102" i="20"/>
  <c r="F103" i="20"/>
  <c r="G103" i="20"/>
  <c r="H103" i="20"/>
  <c r="I103" i="20"/>
  <c r="J103" i="20"/>
  <c r="K103" i="20"/>
  <c r="L103" i="20"/>
  <c r="M103" i="20"/>
  <c r="N103" i="20"/>
  <c r="O103" i="20"/>
  <c r="P103" i="20"/>
  <c r="F104" i="20"/>
  <c r="G104" i="20"/>
  <c r="H104" i="20"/>
  <c r="I104" i="20"/>
  <c r="J104" i="20"/>
  <c r="K104" i="20"/>
  <c r="L104" i="20"/>
  <c r="M104" i="20"/>
  <c r="N104" i="20"/>
  <c r="O104" i="20"/>
  <c r="P104" i="20"/>
  <c r="F105" i="20"/>
  <c r="G105" i="20"/>
  <c r="H105" i="20"/>
  <c r="I105" i="20"/>
  <c r="J105" i="20"/>
  <c r="K105" i="20"/>
  <c r="L105" i="20"/>
  <c r="M105" i="20"/>
  <c r="N105" i="20"/>
  <c r="O105" i="20"/>
  <c r="P105" i="20"/>
  <c r="F106" i="20"/>
  <c r="G106" i="20"/>
  <c r="H106" i="20"/>
  <c r="I106" i="20"/>
  <c r="J106" i="20"/>
  <c r="K106" i="20"/>
  <c r="L106" i="20"/>
  <c r="M106" i="20"/>
  <c r="N106" i="20"/>
  <c r="O106" i="20"/>
  <c r="P106" i="20"/>
  <c r="G107" i="20"/>
  <c r="H107" i="20"/>
  <c r="J107" i="20"/>
  <c r="K107" i="20"/>
  <c r="L107" i="20"/>
  <c r="M107" i="20"/>
  <c r="N107" i="20"/>
  <c r="O107" i="20"/>
  <c r="P107" i="20"/>
  <c r="F90" i="20"/>
  <c r="G90" i="20"/>
  <c r="H90" i="20"/>
  <c r="I90" i="20"/>
  <c r="J90" i="20"/>
  <c r="K90" i="20"/>
  <c r="L90" i="20"/>
  <c r="M90" i="20"/>
  <c r="N90" i="20"/>
  <c r="O90" i="20"/>
  <c r="P90" i="20"/>
  <c r="F91" i="20"/>
  <c r="G91" i="20"/>
  <c r="H91" i="20"/>
  <c r="I91" i="20"/>
  <c r="J91" i="20"/>
  <c r="K91" i="20"/>
  <c r="L91" i="20"/>
  <c r="M91" i="20"/>
  <c r="N91" i="20"/>
  <c r="O91" i="20"/>
  <c r="P91" i="20"/>
  <c r="F92" i="20"/>
  <c r="G92" i="20"/>
  <c r="H92" i="20"/>
  <c r="I92" i="20"/>
  <c r="J92" i="20"/>
  <c r="K92" i="20"/>
  <c r="L92" i="20"/>
  <c r="M92" i="20"/>
  <c r="N92" i="20"/>
  <c r="O92" i="20"/>
  <c r="P92" i="20"/>
  <c r="F93" i="20"/>
  <c r="G93" i="20"/>
  <c r="H93" i="20"/>
  <c r="I93" i="20"/>
  <c r="J93" i="20"/>
  <c r="K93" i="20"/>
  <c r="L93" i="20"/>
  <c r="M93" i="20"/>
  <c r="N93" i="20"/>
  <c r="O93" i="20"/>
  <c r="P93" i="20"/>
  <c r="G94" i="20"/>
  <c r="H94" i="20"/>
  <c r="J94" i="20"/>
  <c r="K94" i="20"/>
  <c r="L94" i="20"/>
  <c r="N94" i="20"/>
  <c r="O94" i="20"/>
  <c r="P94" i="20"/>
  <c r="P97" i="20"/>
  <c r="O97" i="20"/>
  <c r="N97" i="20"/>
  <c r="M97" i="20"/>
  <c r="L97" i="20"/>
  <c r="K97" i="20"/>
  <c r="J97" i="20"/>
  <c r="I97" i="20"/>
  <c r="H97" i="20"/>
  <c r="G97" i="20"/>
  <c r="F97" i="20"/>
  <c r="P89" i="20"/>
  <c r="O89" i="20"/>
  <c r="N89" i="20"/>
  <c r="M89" i="20"/>
  <c r="L89" i="20"/>
  <c r="K89" i="20"/>
  <c r="J89" i="20"/>
  <c r="I89" i="20"/>
  <c r="H89" i="20"/>
  <c r="G89" i="20"/>
  <c r="F89" i="20"/>
  <c r="F80" i="20"/>
  <c r="G80" i="20"/>
  <c r="H80" i="20"/>
  <c r="I80" i="20"/>
  <c r="J80" i="20"/>
  <c r="K80" i="20"/>
  <c r="L80" i="20"/>
  <c r="M80" i="20"/>
  <c r="N80" i="20"/>
  <c r="O80" i="20"/>
  <c r="P80" i="20"/>
  <c r="F81" i="20"/>
  <c r="G81" i="20"/>
  <c r="H81" i="20"/>
  <c r="I81" i="20"/>
  <c r="J81" i="20"/>
  <c r="K81" i="20"/>
  <c r="L81" i="20"/>
  <c r="M81" i="20"/>
  <c r="N81" i="20"/>
  <c r="O81" i="20"/>
  <c r="P81" i="20"/>
  <c r="F82" i="20"/>
  <c r="G82" i="20"/>
  <c r="H82" i="20"/>
  <c r="I82" i="20"/>
  <c r="J82" i="20"/>
  <c r="K82" i="20"/>
  <c r="L82" i="20"/>
  <c r="M82" i="20"/>
  <c r="N82" i="20"/>
  <c r="O82" i="20"/>
  <c r="P82" i="20"/>
  <c r="F83" i="20"/>
  <c r="G83" i="20"/>
  <c r="H83" i="20"/>
  <c r="I83" i="20"/>
  <c r="J83" i="20"/>
  <c r="K83" i="20"/>
  <c r="L83" i="20"/>
  <c r="M83" i="20"/>
  <c r="N83" i="20"/>
  <c r="O83" i="20"/>
  <c r="P83" i="20"/>
  <c r="F84" i="20"/>
  <c r="G84" i="20"/>
  <c r="H84" i="20"/>
  <c r="I84" i="20"/>
  <c r="J84" i="20"/>
  <c r="K84" i="20"/>
  <c r="L84" i="20"/>
  <c r="M84" i="20"/>
  <c r="N84" i="20"/>
  <c r="O84" i="20"/>
  <c r="P84" i="20"/>
  <c r="F85" i="20"/>
  <c r="G85" i="20"/>
  <c r="H85" i="20"/>
  <c r="I85" i="20"/>
  <c r="J85" i="20"/>
  <c r="K85" i="20"/>
  <c r="L85" i="20"/>
  <c r="M85" i="20"/>
  <c r="N85" i="20"/>
  <c r="O85" i="20"/>
  <c r="P85" i="20"/>
  <c r="G86" i="20"/>
  <c r="L86" i="20"/>
  <c r="P79" i="20"/>
  <c r="O79" i="20"/>
  <c r="N79" i="20"/>
  <c r="M79" i="20"/>
  <c r="L79" i="20"/>
  <c r="K79" i="20"/>
  <c r="J79" i="20"/>
  <c r="I79" i="20"/>
  <c r="H79" i="20"/>
  <c r="G79" i="20"/>
  <c r="F79" i="20"/>
  <c r="G67" i="20"/>
  <c r="H67" i="20"/>
  <c r="I67" i="20"/>
  <c r="J67" i="20"/>
  <c r="K67" i="20"/>
  <c r="L67" i="20"/>
  <c r="M67" i="20"/>
  <c r="N67" i="20"/>
  <c r="O67" i="20"/>
  <c r="P67" i="20"/>
  <c r="G68" i="20"/>
  <c r="H68" i="20"/>
  <c r="I68" i="20"/>
  <c r="J68" i="20"/>
  <c r="K68" i="20"/>
  <c r="L68" i="20"/>
  <c r="M68" i="20"/>
  <c r="N68" i="20"/>
  <c r="O68" i="20"/>
  <c r="P68" i="20"/>
  <c r="G69" i="20"/>
  <c r="H69" i="20"/>
  <c r="I69" i="20"/>
  <c r="J69" i="20"/>
  <c r="K69" i="20"/>
  <c r="L69" i="20"/>
  <c r="M69" i="20"/>
  <c r="N69" i="20"/>
  <c r="O69" i="20"/>
  <c r="P69" i="20"/>
  <c r="G70" i="20"/>
  <c r="H70" i="20"/>
  <c r="I70" i="20"/>
  <c r="J70" i="20"/>
  <c r="K70" i="20"/>
  <c r="L70" i="20"/>
  <c r="M70" i="20"/>
  <c r="N70" i="20"/>
  <c r="O70" i="20"/>
  <c r="P70" i="20"/>
  <c r="G71" i="20"/>
  <c r="H71" i="20"/>
  <c r="I71" i="20"/>
  <c r="J71" i="20"/>
  <c r="K71" i="20"/>
  <c r="L71" i="20"/>
  <c r="M71" i="20"/>
  <c r="N71" i="20"/>
  <c r="O71" i="20"/>
  <c r="P71" i="20"/>
  <c r="G72" i="20"/>
  <c r="H72" i="20"/>
  <c r="I72" i="20"/>
  <c r="J72" i="20"/>
  <c r="K72" i="20"/>
  <c r="L72" i="20"/>
  <c r="M72" i="20"/>
  <c r="N72" i="20"/>
  <c r="O72" i="20"/>
  <c r="P72" i="20"/>
  <c r="G73" i="20"/>
  <c r="H73" i="20"/>
  <c r="I73" i="20"/>
  <c r="J73" i="20"/>
  <c r="K73" i="20"/>
  <c r="L73" i="20"/>
  <c r="M73" i="20"/>
  <c r="N73" i="20"/>
  <c r="O73" i="20"/>
  <c r="P73" i="20"/>
  <c r="G74" i="20"/>
  <c r="H74" i="20"/>
  <c r="I74" i="20"/>
  <c r="J74" i="20"/>
  <c r="K74" i="20"/>
  <c r="L74" i="20"/>
  <c r="M74" i="20"/>
  <c r="N74" i="20"/>
  <c r="O74" i="20"/>
  <c r="P74" i="20"/>
  <c r="G75" i="20"/>
  <c r="H75" i="20"/>
  <c r="I75" i="20"/>
  <c r="J75" i="20"/>
  <c r="K75" i="20"/>
  <c r="L75" i="20"/>
  <c r="M75" i="20"/>
  <c r="N75" i="20"/>
  <c r="O75" i="20"/>
  <c r="P75" i="20"/>
  <c r="H76" i="20"/>
  <c r="I76" i="20"/>
  <c r="J76" i="20"/>
  <c r="K76" i="20"/>
  <c r="L76" i="20"/>
  <c r="M76" i="20"/>
  <c r="N76" i="20"/>
  <c r="O76" i="20"/>
  <c r="P76" i="20"/>
  <c r="P66" i="20"/>
  <c r="O66" i="20"/>
  <c r="N66" i="20"/>
  <c r="M66" i="20"/>
  <c r="L66" i="20"/>
  <c r="K66" i="20"/>
  <c r="J66" i="20"/>
  <c r="I66" i="20"/>
  <c r="H66" i="20"/>
  <c r="G66" i="20"/>
  <c r="F67" i="20"/>
  <c r="F68" i="20"/>
  <c r="F69" i="20"/>
  <c r="F70" i="20"/>
  <c r="F71" i="20"/>
  <c r="F72" i="20"/>
  <c r="F73" i="20"/>
  <c r="F74" i="20"/>
  <c r="F75" i="20"/>
  <c r="F66" i="20"/>
  <c r="F108" i="43"/>
  <c r="C108" i="43"/>
  <c r="I107" i="43"/>
  <c r="I100" i="43"/>
  <c r="F100" i="43"/>
  <c r="C100" i="43"/>
  <c r="E18" i="43" s="1"/>
  <c r="C93" i="43"/>
  <c r="E14" i="43" s="1"/>
  <c r="I91" i="43"/>
  <c r="E24" i="43" s="1"/>
  <c r="I83" i="43"/>
  <c r="F83" i="43"/>
  <c r="C83" i="43"/>
  <c r="B82" i="43"/>
  <c r="B81" i="43"/>
  <c r="B80" i="43"/>
  <c r="B79" i="43"/>
  <c r="B78" i="43"/>
  <c r="B77" i="43"/>
  <c r="I76" i="43"/>
  <c r="B76" i="43"/>
  <c r="B75" i="43"/>
  <c r="B74" i="43"/>
  <c r="B73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E23" i="43"/>
  <c r="E22" i="43"/>
  <c r="E21" i="43"/>
  <c r="E20" i="43"/>
  <c r="E19" i="43"/>
  <c r="E17" i="43"/>
  <c r="E16" i="43"/>
  <c r="E15" i="43"/>
  <c r="E13" i="43"/>
  <c r="F108" i="42"/>
  <c r="C108" i="42"/>
  <c r="I107" i="42"/>
  <c r="I100" i="42"/>
  <c r="F100" i="42"/>
  <c r="C100" i="42"/>
  <c r="E18" i="42" s="1"/>
  <c r="C93" i="42"/>
  <c r="E14" i="42" s="1"/>
  <c r="I91" i="42"/>
  <c r="E24" i="42" s="1"/>
  <c r="I83" i="42"/>
  <c r="F83" i="42"/>
  <c r="C83" i="42"/>
  <c r="B82" i="42"/>
  <c r="B81" i="42"/>
  <c r="B80" i="42"/>
  <c r="B79" i="42"/>
  <c r="B78" i="42"/>
  <c r="B77" i="42"/>
  <c r="I76" i="42"/>
  <c r="B76" i="42"/>
  <c r="B75" i="42"/>
  <c r="B74" i="42"/>
  <c r="B73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E23" i="42"/>
  <c r="E22" i="42"/>
  <c r="E21" i="42"/>
  <c r="E20" i="42"/>
  <c r="E19" i="42"/>
  <c r="E17" i="42"/>
  <c r="E16" i="42"/>
  <c r="E15" i="42"/>
  <c r="E13" i="42"/>
  <c r="F108" i="41"/>
  <c r="C108" i="41"/>
  <c r="I107" i="41"/>
  <c r="I100" i="41"/>
  <c r="F100" i="41"/>
  <c r="C100" i="41"/>
  <c r="C93" i="41"/>
  <c r="N86" i="20" s="1"/>
  <c r="I91" i="41"/>
  <c r="E24" i="41" s="1"/>
  <c r="I83" i="41"/>
  <c r="F83" i="41"/>
  <c r="C83" i="41"/>
  <c r="E13" i="41" s="1"/>
  <c r="B82" i="41"/>
  <c r="B81" i="41"/>
  <c r="B80" i="41"/>
  <c r="B79" i="41"/>
  <c r="B78" i="41"/>
  <c r="B77" i="41"/>
  <c r="I76" i="41"/>
  <c r="B76" i="41"/>
  <c r="B75" i="41"/>
  <c r="B74" i="41"/>
  <c r="B73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E23" i="41"/>
  <c r="E22" i="41"/>
  <c r="E21" i="41"/>
  <c r="E20" i="41"/>
  <c r="E19" i="41"/>
  <c r="E18" i="41"/>
  <c r="E17" i="41"/>
  <c r="E16" i="41"/>
  <c r="E15" i="41"/>
  <c r="F108" i="40"/>
  <c r="M139" i="20" s="1"/>
  <c r="C108" i="40"/>
  <c r="M94" i="20" s="1"/>
  <c r="I107" i="40"/>
  <c r="M176" i="20" s="1"/>
  <c r="I100" i="40"/>
  <c r="M169" i="20" s="1"/>
  <c r="F100" i="40"/>
  <c r="M124" i="20" s="1"/>
  <c r="C100" i="40"/>
  <c r="E18" i="40" s="1"/>
  <c r="C93" i="40"/>
  <c r="E14" i="40" s="1"/>
  <c r="I91" i="40"/>
  <c r="E24" i="40" s="1"/>
  <c r="I83" i="40"/>
  <c r="F83" i="40"/>
  <c r="C83" i="40"/>
  <c r="B82" i="40"/>
  <c r="B81" i="40"/>
  <c r="B80" i="40"/>
  <c r="B79" i="40"/>
  <c r="B78" i="40"/>
  <c r="B77" i="40"/>
  <c r="I76" i="40"/>
  <c r="M145" i="20" s="1"/>
  <c r="B76" i="40"/>
  <c r="B75" i="40"/>
  <c r="B74" i="40"/>
  <c r="B73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E23" i="40"/>
  <c r="E22" i="40"/>
  <c r="E21" i="40"/>
  <c r="E20" i="40"/>
  <c r="E19" i="40"/>
  <c r="E17" i="40"/>
  <c r="E16" i="40"/>
  <c r="E15" i="40"/>
  <c r="E13" i="40"/>
  <c r="F108" i="39"/>
  <c r="C108" i="39"/>
  <c r="I107" i="39"/>
  <c r="I100" i="39"/>
  <c r="F100" i="39"/>
  <c r="C100" i="39"/>
  <c r="E18" i="39" s="1"/>
  <c r="C93" i="39"/>
  <c r="E14" i="39" s="1"/>
  <c r="I91" i="39"/>
  <c r="E24" i="39" s="1"/>
  <c r="I83" i="39"/>
  <c r="F83" i="39"/>
  <c r="C83" i="39"/>
  <c r="B82" i="39"/>
  <c r="B81" i="39"/>
  <c r="B80" i="39"/>
  <c r="B79" i="39"/>
  <c r="B78" i="39"/>
  <c r="B77" i="39"/>
  <c r="I76" i="39"/>
  <c r="B76" i="39"/>
  <c r="B75" i="39"/>
  <c r="B74" i="39"/>
  <c r="B73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E23" i="39"/>
  <c r="E22" i="39"/>
  <c r="E21" i="39"/>
  <c r="E20" i="39"/>
  <c r="E19" i="39"/>
  <c r="E17" i="39"/>
  <c r="E16" i="39"/>
  <c r="E15" i="39"/>
  <c r="E13" i="39"/>
  <c r="F108" i="38"/>
  <c r="C108" i="38"/>
  <c r="I107" i="38"/>
  <c r="I100" i="38"/>
  <c r="F100" i="38"/>
  <c r="C100" i="38"/>
  <c r="C93" i="38"/>
  <c r="E14" i="38" s="1"/>
  <c r="I91" i="38"/>
  <c r="E24" i="38" s="1"/>
  <c r="I83" i="38"/>
  <c r="F83" i="38"/>
  <c r="C83" i="38"/>
  <c r="B82" i="38"/>
  <c r="B81" i="38"/>
  <c r="B80" i="38"/>
  <c r="B79" i="38"/>
  <c r="B78" i="38"/>
  <c r="B77" i="38"/>
  <c r="I76" i="38"/>
  <c r="B76" i="38"/>
  <c r="B75" i="38"/>
  <c r="B74" i="38"/>
  <c r="B73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E23" i="38"/>
  <c r="E22" i="38"/>
  <c r="E21" i="38"/>
  <c r="E20" i="38"/>
  <c r="E19" i="38"/>
  <c r="E18" i="38"/>
  <c r="E17" i="38"/>
  <c r="E16" i="38"/>
  <c r="E15" i="38"/>
  <c r="E13" i="38"/>
  <c r="F108" i="37"/>
  <c r="C108" i="37"/>
  <c r="I107" i="37"/>
  <c r="I100" i="37"/>
  <c r="F100" i="37"/>
  <c r="C100" i="37"/>
  <c r="E18" i="37" s="1"/>
  <c r="C93" i="37"/>
  <c r="E14" i="37" s="1"/>
  <c r="I91" i="37"/>
  <c r="E24" i="37" s="1"/>
  <c r="I83" i="37"/>
  <c r="F83" i="37"/>
  <c r="C83" i="37"/>
  <c r="B82" i="37"/>
  <c r="B81" i="37"/>
  <c r="B80" i="37"/>
  <c r="B79" i="37"/>
  <c r="B78" i="37"/>
  <c r="B77" i="37"/>
  <c r="I76" i="37"/>
  <c r="B76" i="37"/>
  <c r="B75" i="37"/>
  <c r="B74" i="37"/>
  <c r="B73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E23" i="37"/>
  <c r="E22" i="37"/>
  <c r="E21" i="37"/>
  <c r="E20" i="37"/>
  <c r="E19" i="37"/>
  <c r="E17" i="37"/>
  <c r="E16" i="37"/>
  <c r="E15" i="37"/>
  <c r="E13" i="37"/>
  <c r="C108" i="36"/>
  <c r="I94" i="20" s="1"/>
  <c r="I107" i="36"/>
  <c r="I176" i="20" s="1"/>
  <c r="I100" i="36"/>
  <c r="I169" i="20" s="1"/>
  <c r="F100" i="36"/>
  <c r="I124" i="20" s="1"/>
  <c r="C100" i="36"/>
  <c r="E18" i="36" s="1"/>
  <c r="C93" i="36"/>
  <c r="E14" i="36" s="1"/>
  <c r="I91" i="36"/>
  <c r="E24" i="36" s="1"/>
  <c r="I83" i="36"/>
  <c r="E23" i="36" s="1"/>
  <c r="F83" i="36"/>
  <c r="I107" i="20" s="1"/>
  <c r="C83" i="36"/>
  <c r="B82" i="36"/>
  <c r="B81" i="36"/>
  <c r="B80" i="36"/>
  <c r="B79" i="36"/>
  <c r="B78" i="36"/>
  <c r="B77" i="36"/>
  <c r="I76" i="36"/>
  <c r="E22" i="36" s="1"/>
  <c r="B76" i="36"/>
  <c r="B75" i="36"/>
  <c r="B74" i="36"/>
  <c r="B73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E20" i="36"/>
  <c r="E19" i="36"/>
  <c r="E17" i="36"/>
  <c r="E16" i="36"/>
  <c r="E15" i="36"/>
  <c r="E13" i="36"/>
  <c r="F108" i="35"/>
  <c r="C108" i="35"/>
  <c r="I107" i="35"/>
  <c r="I100" i="35"/>
  <c r="F100" i="35"/>
  <c r="C100" i="35"/>
  <c r="E18" i="35" s="1"/>
  <c r="C93" i="35"/>
  <c r="E14" i="35" s="1"/>
  <c r="I91" i="35"/>
  <c r="E24" i="35" s="1"/>
  <c r="I83" i="35"/>
  <c r="F83" i="35"/>
  <c r="C83" i="35"/>
  <c r="B82" i="35"/>
  <c r="B81" i="35"/>
  <c r="B80" i="35"/>
  <c r="B79" i="35"/>
  <c r="B78" i="35"/>
  <c r="B77" i="35"/>
  <c r="I76" i="35"/>
  <c r="B76" i="35"/>
  <c r="B75" i="35"/>
  <c r="B74" i="35"/>
  <c r="B73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E23" i="35"/>
  <c r="E22" i="35"/>
  <c r="E21" i="35"/>
  <c r="E20" i="35"/>
  <c r="E19" i="35"/>
  <c r="E17" i="35"/>
  <c r="E16" i="35"/>
  <c r="E15" i="35"/>
  <c r="E13" i="35"/>
  <c r="F108" i="34"/>
  <c r="C108" i="34"/>
  <c r="E15" i="34" s="1"/>
  <c r="I107" i="34"/>
  <c r="I100" i="34"/>
  <c r="F100" i="34"/>
  <c r="C100" i="34"/>
  <c r="C93" i="34"/>
  <c r="E14" i="34" s="1"/>
  <c r="I91" i="34"/>
  <c r="E24" i="34" s="1"/>
  <c r="I83" i="34"/>
  <c r="E23" i="34" s="1"/>
  <c r="F83" i="34"/>
  <c r="C83" i="34"/>
  <c r="E13" i="34" s="1"/>
  <c r="B82" i="34"/>
  <c r="B81" i="34"/>
  <c r="B80" i="34"/>
  <c r="B79" i="34"/>
  <c r="B78" i="34"/>
  <c r="B77" i="34"/>
  <c r="I76" i="34"/>
  <c r="B76" i="34"/>
  <c r="B75" i="34"/>
  <c r="B74" i="34"/>
  <c r="B73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E22" i="34"/>
  <c r="E21" i="34"/>
  <c r="E20" i="34"/>
  <c r="E19" i="34"/>
  <c r="E18" i="34"/>
  <c r="E17" i="34"/>
  <c r="E16" i="34"/>
  <c r="F152" i="20"/>
  <c r="F107" i="20"/>
  <c r="C173" i="20"/>
  <c r="C174" i="20"/>
  <c r="C175" i="20"/>
  <c r="C176" i="20"/>
  <c r="C172" i="20"/>
  <c r="C164" i="20"/>
  <c r="C165" i="20"/>
  <c r="C166" i="20"/>
  <c r="C167" i="20"/>
  <c r="C168" i="20"/>
  <c r="C169" i="20"/>
  <c r="C163" i="20"/>
  <c r="C156" i="20"/>
  <c r="C157" i="20"/>
  <c r="C158" i="20"/>
  <c r="C159" i="20"/>
  <c r="C160" i="20"/>
  <c r="C155" i="20"/>
  <c r="C149" i="20"/>
  <c r="C150" i="20"/>
  <c r="C151" i="20"/>
  <c r="C152" i="20"/>
  <c r="C148" i="20"/>
  <c r="C143" i="20"/>
  <c r="C144" i="20"/>
  <c r="C145" i="20"/>
  <c r="C142" i="20"/>
  <c r="C135" i="20"/>
  <c r="C136" i="20"/>
  <c r="C137" i="20"/>
  <c r="C138" i="20"/>
  <c r="C139" i="20"/>
  <c r="C134" i="20"/>
  <c r="C128" i="20"/>
  <c r="C129" i="20"/>
  <c r="C130" i="20"/>
  <c r="C131" i="20"/>
  <c r="C127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10" i="20"/>
  <c r="C98" i="20"/>
  <c r="C99" i="20"/>
  <c r="C100" i="20"/>
  <c r="C101" i="20"/>
  <c r="C102" i="20"/>
  <c r="C103" i="20"/>
  <c r="C104" i="20"/>
  <c r="C105" i="20"/>
  <c r="C106" i="20"/>
  <c r="C107" i="20"/>
  <c r="C97" i="20"/>
  <c r="C90" i="20"/>
  <c r="C91" i="20"/>
  <c r="C92" i="20"/>
  <c r="C93" i="20"/>
  <c r="C94" i="20"/>
  <c r="C89" i="20"/>
  <c r="C80" i="20"/>
  <c r="C81" i="20"/>
  <c r="C82" i="20"/>
  <c r="C83" i="20"/>
  <c r="C84" i="20"/>
  <c r="C85" i="20"/>
  <c r="C86" i="20"/>
  <c r="C79" i="20"/>
  <c r="C67" i="20"/>
  <c r="C68" i="20"/>
  <c r="C69" i="20"/>
  <c r="C70" i="20"/>
  <c r="C71" i="20"/>
  <c r="C72" i="20"/>
  <c r="C73" i="20"/>
  <c r="C74" i="20"/>
  <c r="C75" i="20"/>
  <c r="C76" i="20"/>
  <c r="C66" i="20"/>
  <c r="F35" i="7"/>
  <c r="E67" i="20"/>
  <c r="E68" i="20"/>
  <c r="E69" i="20"/>
  <c r="E70" i="20"/>
  <c r="E71" i="20"/>
  <c r="E72" i="20"/>
  <c r="E73" i="20"/>
  <c r="E74" i="20"/>
  <c r="E75" i="20"/>
  <c r="E66" i="20"/>
  <c r="E80" i="20"/>
  <c r="E81" i="20"/>
  <c r="E82" i="20"/>
  <c r="E83" i="20"/>
  <c r="E84" i="20"/>
  <c r="E85" i="20"/>
  <c r="E79" i="20"/>
  <c r="E90" i="20"/>
  <c r="E91" i="20"/>
  <c r="E92" i="20"/>
  <c r="E93" i="20"/>
  <c r="E89" i="20"/>
  <c r="E98" i="20"/>
  <c r="E99" i="20"/>
  <c r="E100" i="20"/>
  <c r="E101" i="20"/>
  <c r="E102" i="20"/>
  <c r="E103" i="20"/>
  <c r="E104" i="20"/>
  <c r="E105" i="20"/>
  <c r="E106" i="20"/>
  <c r="E97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10" i="20"/>
  <c r="E128" i="20"/>
  <c r="E129" i="20"/>
  <c r="E130" i="20"/>
  <c r="E127" i="20"/>
  <c r="E135" i="20"/>
  <c r="E136" i="20"/>
  <c r="E137" i="20"/>
  <c r="E138" i="20"/>
  <c r="E134" i="20"/>
  <c r="E143" i="20"/>
  <c r="E144" i="20"/>
  <c r="E142" i="20"/>
  <c r="E149" i="20"/>
  <c r="E150" i="20"/>
  <c r="E151" i="20"/>
  <c r="E148" i="20"/>
  <c r="E156" i="20"/>
  <c r="E157" i="20"/>
  <c r="E158" i="20"/>
  <c r="E159" i="20"/>
  <c r="E155" i="20"/>
  <c r="E168" i="20"/>
  <c r="E173" i="20"/>
  <c r="E174" i="20"/>
  <c r="E175" i="20"/>
  <c r="E172" i="20"/>
  <c r="E21" i="7"/>
  <c r="E20" i="7"/>
  <c r="E17" i="7"/>
  <c r="F100" i="7"/>
  <c r="E124" i="20" s="1"/>
  <c r="F108" i="7"/>
  <c r="E139" i="20" s="1"/>
  <c r="E16" i="7"/>
  <c r="C108" i="7"/>
  <c r="E15" i="7" s="1"/>
  <c r="C100" i="7"/>
  <c r="E18" i="7" s="1"/>
  <c r="I107" i="7"/>
  <c r="E176" i="20" s="1"/>
  <c r="C93" i="7"/>
  <c r="E14" i="7" s="1"/>
  <c r="I91" i="7"/>
  <c r="E24" i="7" s="1"/>
  <c r="I83" i="7"/>
  <c r="E23" i="7" s="1"/>
  <c r="C83" i="7"/>
  <c r="E13" i="7" s="1"/>
  <c r="F83" i="7"/>
  <c r="E107" i="20" s="1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P86" i="20" l="1"/>
  <c r="E14" i="41"/>
  <c r="O86" i="20"/>
  <c r="K86" i="20"/>
  <c r="J86" i="20"/>
  <c r="I86" i="20"/>
  <c r="H86" i="20"/>
  <c r="E10" i="33"/>
  <c r="E25" i="33" s="1"/>
  <c r="F86" i="20"/>
  <c r="F145" i="20"/>
  <c r="F94" i="20"/>
  <c r="F160" i="20"/>
  <c r="F131" i="20"/>
  <c r="G76" i="20"/>
  <c r="M86" i="20"/>
  <c r="M160" i="20"/>
  <c r="I145" i="20"/>
  <c r="I152" i="20"/>
  <c r="I160" i="20"/>
  <c r="F108" i="36"/>
  <c r="I139" i="20" s="1"/>
  <c r="D139" i="20" s="1"/>
  <c r="E21" i="36"/>
  <c r="E10" i="36" s="1"/>
  <c r="E32" i="43"/>
  <c r="E32" i="42"/>
  <c r="E32" i="41"/>
  <c r="E32" i="40"/>
  <c r="E32" i="39"/>
  <c r="E32" i="38"/>
  <c r="E32" i="37"/>
  <c r="E32" i="36"/>
  <c r="E32" i="35"/>
  <c r="E32" i="34"/>
  <c r="F76" i="20"/>
  <c r="E10" i="43"/>
  <c r="E10" i="42"/>
  <c r="E10" i="41"/>
  <c r="E10" i="40"/>
  <c r="E10" i="39"/>
  <c r="E10" i="38"/>
  <c r="E10" i="37"/>
  <c r="E10" i="35"/>
  <c r="E10" i="34"/>
  <c r="E32" i="7"/>
  <c r="E145" i="20"/>
  <c r="E131" i="20"/>
  <c r="E94" i="20"/>
  <c r="E86" i="20"/>
  <c r="E76" i="20"/>
  <c r="E160" i="20"/>
  <c r="E152" i="20"/>
  <c r="D152" i="20" s="1"/>
  <c r="D57" i="20"/>
  <c r="D144" i="20"/>
  <c r="D110" i="20"/>
  <c r="D105" i="20"/>
  <c r="D84" i="20"/>
  <c r="D82" i="20"/>
  <c r="D80" i="20"/>
  <c r="D74" i="20"/>
  <c r="D72" i="20"/>
  <c r="D68" i="20"/>
  <c r="D92" i="20"/>
  <c r="D168" i="20"/>
  <c r="D142" i="20"/>
  <c r="D155" i="20"/>
  <c r="D148" i="20"/>
  <c r="D134" i="20"/>
  <c r="D127" i="20"/>
  <c r="D97" i="20"/>
  <c r="D159" i="20"/>
  <c r="D138" i="20"/>
  <c r="D116" i="20"/>
  <c r="D89" i="20"/>
  <c r="D85" i="20"/>
  <c r="D83" i="20"/>
  <c r="D81" i="20"/>
  <c r="D79" i="20"/>
  <c r="D75" i="20"/>
  <c r="D73" i="20"/>
  <c r="D71" i="20"/>
  <c r="D70" i="20"/>
  <c r="D69" i="20"/>
  <c r="D67" i="20"/>
  <c r="D66" i="20"/>
  <c r="D172" i="20"/>
  <c r="D151" i="20"/>
  <c r="D150" i="20"/>
  <c r="D149" i="20"/>
  <c r="D176" i="20"/>
  <c r="D175" i="20"/>
  <c r="D174" i="20"/>
  <c r="D173" i="20"/>
  <c r="D93" i="20"/>
  <c r="D91" i="20"/>
  <c r="D90" i="20"/>
  <c r="D128" i="20"/>
  <c r="D143" i="20"/>
  <c r="D157" i="20"/>
  <c r="D130" i="20"/>
  <c r="D137" i="20"/>
  <c r="D136" i="20"/>
  <c r="D135" i="20"/>
  <c r="D107" i="20"/>
  <c r="D106" i="20"/>
  <c r="D104" i="20"/>
  <c r="D103" i="20"/>
  <c r="D102" i="20"/>
  <c r="D101" i="20"/>
  <c r="D100" i="20"/>
  <c r="D99" i="20"/>
  <c r="D98" i="20"/>
  <c r="D123" i="20"/>
  <c r="D122" i="20"/>
  <c r="D121" i="20"/>
  <c r="D120" i="20"/>
  <c r="D119" i="20"/>
  <c r="D118" i="20"/>
  <c r="D117" i="20"/>
  <c r="D115" i="20"/>
  <c r="D114" i="20"/>
  <c r="D113" i="20"/>
  <c r="D112" i="20"/>
  <c r="D111" i="20"/>
  <c r="D129" i="20"/>
  <c r="D158" i="20"/>
  <c r="D156" i="20"/>
  <c r="D124" i="20"/>
  <c r="D58" i="20"/>
  <c r="D86" i="20" l="1"/>
  <c r="D94" i="20"/>
  <c r="D145" i="20"/>
  <c r="D131" i="20"/>
  <c r="D76" i="20"/>
  <c r="D160" i="20"/>
  <c r="E66" i="43"/>
  <c r="P56" i="20"/>
  <c r="E66" i="42"/>
  <c r="O56" i="20"/>
  <c r="E66" i="41"/>
  <c r="N56" i="20"/>
  <c r="E66" i="40"/>
  <c r="M56" i="20"/>
  <c r="E66" i="39"/>
  <c r="L56" i="20"/>
  <c r="E66" i="38"/>
  <c r="K56" i="20"/>
  <c r="E66" i="37"/>
  <c r="J56" i="20"/>
  <c r="E66" i="36"/>
  <c r="I56" i="20"/>
  <c r="E66" i="35"/>
  <c r="H56" i="20"/>
  <c r="E66" i="34"/>
  <c r="G56" i="20"/>
  <c r="F56" i="20"/>
  <c r="E66" i="7"/>
  <c r="E56" i="20"/>
  <c r="E9" i="43" l="1"/>
  <c r="E25" i="43" s="1"/>
  <c r="P59" i="20"/>
  <c r="E9" i="42"/>
  <c r="E25" i="42" s="1"/>
  <c r="O59" i="20"/>
  <c r="E9" i="41"/>
  <c r="E25" i="41" s="1"/>
  <c r="N59" i="20"/>
  <c r="E9" i="40"/>
  <c r="E25" i="40" s="1"/>
  <c r="M59" i="20"/>
  <c r="E9" i="39"/>
  <c r="E25" i="39" s="1"/>
  <c r="L59" i="20"/>
  <c r="E9" i="38"/>
  <c r="E25" i="38" s="1"/>
  <c r="K59" i="20"/>
  <c r="E9" i="37"/>
  <c r="E25" i="37" s="1"/>
  <c r="J59" i="20"/>
  <c r="E9" i="36"/>
  <c r="E25" i="36" s="1"/>
  <c r="I59" i="20"/>
  <c r="E9" i="35"/>
  <c r="E25" i="35" s="1"/>
  <c r="H59" i="20"/>
  <c r="E9" i="34"/>
  <c r="E25" i="34" s="1"/>
  <c r="G59" i="20"/>
  <c r="F59" i="20"/>
  <c r="E59" i="20"/>
  <c r="E9" i="7"/>
  <c r="D56" i="20"/>
  <c r="E167" i="20"/>
  <c r="D167" i="20" s="1"/>
  <c r="E164" i="20"/>
  <c r="D164" i="20" s="1"/>
  <c r="E165" i="20"/>
  <c r="D165" i="20" s="1"/>
  <c r="E163" i="20"/>
  <c r="D163" i="20" s="1"/>
  <c r="E166" i="20"/>
  <c r="D166" i="20" s="1"/>
  <c r="I100" i="7"/>
  <c r="E169" i="20" s="1"/>
  <c r="D169" i="20" s="1"/>
  <c r="E45" i="20" s="1"/>
  <c r="E19" i="7"/>
  <c r="E10" i="7" s="1"/>
  <c r="D59" i="20" l="1"/>
  <c r="E44" i="20" s="1"/>
  <c r="E47" i="20" s="1"/>
  <c r="E25" i="7"/>
</calcChain>
</file>

<file path=xl/sharedStrings.xml><?xml version="1.0" encoding="utf-8"?>
<sst xmlns="http://schemas.openxmlformats.org/spreadsheetml/2006/main" count="1907" uniqueCount="191">
  <si>
    <t>SOBRE ESTE MODELO</t>
  </si>
  <si>
    <t>Use esta planilha de orçamento pessoal mensal para controlar sua renda e custos mensais previstos e reais.</t>
  </si>
  <si>
    <t>Saldo projetado, saldo real e diferença são calculados automaticamente.</t>
  </si>
  <si>
    <t>Observação: </t>
  </si>
  <si>
    <t>O rótulo Renda mensal prevista está na célula à direita. Insira Renda 1 na célula E4 e Renda adicional em E5 para calcular a Renda mensal total em E6. A próxima instrução está na célula A6.</t>
  </si>
  <si>
    <t>O Saldo previsto é calculado automaticamente na célula J4, o Saldo real em J6 e a Diferença em J8. A próxima instrução está na célula A8.</t>
  </si>
  <si>
    <t>Insira os detalhes na tabela Moradia começando pela célula à direita e na tabela Entretenimento começando pela célula G12. A próxima instrução está na célula A25.</t>
  </si>
  <si>
    <t>Insira os detalhes na tabela Transporte começando pela célula à direita e na tabela Empréstimos começando pela célula G24. A próxima instrução está na célula A35.</t>
  </si>
  <si>
    <t>Insira os detalhes na tabela Seguro começando pela célula à direita e na tabela Impostos começando pela célula G33. A próxima instrução está na célula A42.</t>
  </si>
  <si>
    <t>Insira os detalhes na tabela Alimentação começando pela célula à direita e na tabela Poupança começando pela célula G40. A próxima instrução está na célula A48.</t>
  </si>
  <si>
    <t>Insira os detalhes na tabela Animais de estimação começando pela célula à direita e na tabela Presentes começando pela célula G46. A próxima instrução está na célula A56.</t>
  </si>
  <si>
    <t>Insira os detalhes na tabela Cuidados pessoais começando pela célula à direita e na tabela Assessoria jurídica começando pela célula G52. A próxima instrução está na célula A59.</t>
  </si>
  <si>
    <t>O Custo total previsto é calculado automaticamente na célula J59, o Custo total real em J61 e a Diferença total em J63.</t>
  </si>
  <si>
    <t>ORÇAMENTO PESSOAL MENSAL</t>
  </si>
  <si>
    <t>MORADIA</t>
  </si>
  <si>
    <t>Telefone</t>
  </si>
  <si>
    <t>Conta de luz</t>
  </si>
  <si>
    <t>Gás</t>
  </si>
  <si>
    <t>Água e esgoto</t>
  </si>
  <si>
    <t>TV a cabo</t>
  </si>
  <si>
    <t>Coleta de lixo</t>
  </si>
  <si>
    <t>Manutenção ou reparos</t>
  </si>
  <si>
    <t>Suprimentos</t>
  </si>
  <si>
    <t>Outros</t>
  </si>
  <si>
    <t>Subtotal</t>
  </si>
  <si>
    <t>TRANSPORTE</t>
  </si>
  <si>
    <t>Pagamento do veículo</t>
  </si>
  <si>
    <t>Transporte público/táxi</t>
  </si>
  <si>
    <t>Seguro</t>
  </si>
  <si>
    <t>Licenciamento</t>
  </si>
  <si>
    <t>Combustível</t>
  </si>
  <si>
    <t>Manutenção</t>
  </si>
  <si>
    <t>SEGURO</t>
  </si>
  <si>
    <t>Residencial</t>
  </si>
  <si>
    <t>Saúde</t>
  </si>
  <si>
    <t>Vida</t>
  </si>
  <si>
    <t>ALIMENTAÇÃO</t>
  </si>
  <si>
    <t>Supermercado</t>
  </si>
  <si>
    <t>Jantar fora</t>
  </si>
  <si>
    <t>ANIMAIS DE ESTIMAÇÃO</t>
  </si>
  <si>
    <t>Alimentação</t>
  </si>
  <si>
    <t>Médico</t>
  </si>
  <si>
    <t>Banho e tosa</t>
  </si>
  <si>
    <t>Brinquedos</t>
  </si>
  <si>
    <t>CUIDADOS PESSOAIS</t>
  </si>
  <si>
    <t>Cabelo/unhas</t>
  </si>
  <si>
    <t>Vestuário</t>
  </si>
  <si>
    <t>Academia</t>
  </si>
  <si>
    <t>Renda extra</t>
  </si>
  <si>
    <t>Renda mensal total</t>
  </si>
  <si>
    <t>ENTRETENIMENTO</t>
  </si>
  <si>
    <t>Balada/festa</t>
  </si>
  <si>
    <t>Plataformas de música</t>
  </si>
  <si>
    <t>Filmes</t>
  </si>
  <si>
    <t>Shows</t>
  </si>
  <si>
    <t>Eventos esportivos</t>
  </si>
  <si>
    <t>Teatro ao vivo</t>
  </si>
  <si>
    <t>EMPRÉSTIMOS</t>
  </si>
  <si>
    <t>Pessoal</t>
  </si>
  <si>
    <t>Estudante</t>
  </si>
  <si>
    <t>Cartão de crédito</t>
  </si>
  <si>
    <t>IMPOSTOS</t>
  </si>
  <si>
    <t>Federal</t>
  </si>
  <si>
    <t>Estadual</t>
  </si>
  <si>
    <t>Local</t>
  </si>
  <si>
    <t>POUPANÇAS OU INVESTIMENTOS</t>
  </si>
  <si>
    <t>Aposentadoria</t>
  </si>
  <si>
    <t>Investimentos</t>
  </si>
  <si>
    <t>PRESENTES E DOAÇÕES</t>
  </si>
  <si>
    <t>Instituição beneficente 1</t>
  </si>
  <si>
    <t>Instituição beneficente 2</t>
  </si>
  <si>
    <t>Instituição beneficente 3</t>
  </si>
  <si>
    <t>ASSESSORIA JURÍDICA</t>
  </si>
  <si>
    <t>Advogado</t>
  </si>
  <si>
    <t>Pensão alimentícia</t>
  </si>
  <si>
    <t>Pagamentos em garantia ou julgamento</t>
  </si>
  <si>
    <t>Renda 4</t>
  </si>
  <si>
    <t>Renda 5</t>
  </si>
  <si>
    <t>Renda 6</t>
  </si>
  <si>
    <t>Renda 7</t>
  </si>
  <si>
    <t>Renda 8</t>
  </si>
  <si>
    <t>Renda 9</t>
  </si>
  <si>
    <t>Renda 10</t>
  </si>
  <si>
    <t>Renda 11</t>
  </si>
  <si>
    <t>Renda 12</t>
  </si>
  <si>
    <t>Renda 13</t>
  </si>
  <si>
    <t>Renda 14</t>
  </si>
  <si>
    <t>Renda 15</t>
  </si>
  <si>
    <t>Renda 16</t>
  </si>
  <si>
    <t>Renda 17</t>
  </si>
  <si>
    <t>Renda 18</t>
  </si>
  <si>
    <t>Renda 19</t>
  </si>
  <si>
    <t>Renda 20</t>
  </si>
  <si>
    <t>Renda 21</t>
  </si>
  <si>
    <t>Renda 22</t>
  </si>
  <si>
    <t>Renda 23</t>
  </si>
  <si>
    <t>Renda 24</t>
  </si>
  <si>
    <t>Renda 25</t>
  </si>
  <si>
    <t>Renda 26</t>
  </si>
  <si>
    <t>Renda 27</t>
  </si>
  <si>
    <t>Renda 28</t>
  </si>
  <si>
    <t>Renda 29</t>
  </si>
  <si>
    <t>Renda 30</t>
  </si>
  <si>
    <t>Renda 31</t>
  </si>
  <si>
    <t>Renda 32</t>
  </si>
  <si>
    <t xml:space="preserve">RENDA MENSAL </t>
  </si>
  <si>
    <t>Semana 1</t>
  </si>
  <si>
    <t>Semana 4</t>
  </si>
  <si>
    <t>Semana 5</t>
  </si>
  <si>
    <t xml:space="preserve">Nome do paciente </t>
  </si>
  <si>
    <t>Total/mês</t>
  </si>
  <si>
    <t>Número sessão/mês</t>
  </si>
  <si>
    <t>Valor cobrado por sessão</t>
  </si>
  <si>
    <t>Semana 2</t>
  </si>
  <si>
    <t>Semana 3</t>
  </si>
  <si>
    <t>Semanas do mês</t>
  </si>
  <si>
    <t>-</t>
  </si>
  <si>
    <t>Sim</t>
  </si>
  <si>
    <t>Não</t>
  </si>
  <si>
    <t xml:space="preserve">Renda dos Pacientes </t>
  </si>
  <si>
    <t>Email</t>
  </si>
  <si>
    <t>Pago</t>
  </si>
  <si>
    <t>Pago2</t>
  </si>
  <si>
    <t xml:space="preserve">Custo </t>
  </si>
  <si>
    <t>Cosméticos</t>
  </si>
  <si>
    <t>Compras extra</t>
  </si>
  <si>
    <t>Pago3</t>
  </si>
  <si>
    <t>Pago4</t>
  </si>
  <si>
    <t>Pago5</t>
  </si>
  <si>
    <t xml:space="preserve">GASTOS </t>
  </si>
  <si>
    <t>Aluguel</t>
  </si>
  <si>
    <t>CUSTO</t>
  </si>
  <si>
    <t xml:space="preserve">SALDO </t>
  </si>
  <si>
    <t xml:space="preserve">Moradia </t>
  </si>
  <si>
    <t>Transporte</t>
  </si>
  <si>
    <t>Entretenimento</t>
  </si>
  <si>
    <t>Empréstimo</t>
  </si>
  <si>
    <t>Imposto</t>
  </si>
  <si>
    <t>Poupança</t>
  </si>
  <si>
    <t>Presente/doação</t>
  </si>
  <si>
    <t>Acessoria Jurídica</t>
  </si>
  <si>
    <t>Animais de Estimação</t>
  </si>
  <si>
    <t>Cuidados pessoais</t>
  </si>
  <si>
    <t>Categoria</t>
  </si>
  <si>
    <t>Resumo dos Custos</t>
  </si>
  <si>
    <t>Resumo do Saldo</t>
  </si>
  <si>
    <t>RESUMO</t>
  </si>
  <si>
    <t>ENTRADA</t>
  </si>
  <si>
    <t xml:space="preserve">TOTAL
</t>
  </si>
  <si>
    <t>Saldo - Custos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</si>
  <si>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</si>
  <si>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</si>
  <si>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</si>
  <si>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</si>
  <si>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</si>
  <si>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</si>
  <si>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</si>
  <si>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</si>
  <si>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</si>
  <si>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</si>
  <si>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</si>
  <si>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Dezembro </t>
  </si>
  <si>
    <t>Almoço fora</t>
  </si>
  <si>
    <t>Padaria/lanche</t>
  </si>
  <si>
    <t>POUPANÇA/INVESTIMENTO</t>
  </si>
  <si>
    <t>PRESENTE/DOAÇÕES</t>
  </si>
  <si>
    <t>ACESSORIA JURIDICA</t>
  </si>
  <si>
    <t>EMPRÉSTIMO</t>
  </si>
  <si>
    <t>DESCRIÇÃO</t>
  </si>
  <si>
    <t>CATEGORIA</t>
  </si>
  <si>
    <t>RENDA MENSAL</t>
  </si>
  <si>
    <t xml:space="preserve">RESUMO DOS GASTOS </t>
  </si>
  <si>
    <t xml:space="preserve">RESUMO DOS GANHOS </t>
  </si>
  <si>
    <t>RESUMO TOTAL</t>
  </si>
  <si>
    <t>Insira as despesas incorridas nas várias categorias das respectivas tabelas, de acordo com o gasto em cada mês.</t>
  </si>
  <si>
    <t>RESUMO - JANEIRO</t>
  </si>
  <si>
    <t xml:space="preserve">Caso precise mudar o nome de algum gasto ou categoria, FAÇA SOMENTE NA PLANILHA "JAN". Os outros meses e o resumo mudarão automaticamente os nomes alterados na aba "jan". </t>
  </si>
  <si>
    <t>RESUMO - FEVEREIRO</t>
  </si>
  <si>
    <t>Observe que ao lado esquerdo de "renda mensal", em todos os meses, haverá um símbolo de +. Clique neste símbolo para adicionar informações referentes ao cadastro e registro de sessões dos pacientes. O valor total mudará automaticamente. Se você não for psicólogo, somente ignore o + e registre o seu salário na coluna "renda mensal"</t>
  </si>
  <si>
    <t>RESUMO - MARÇO</t>
  </si>
  <si>
    <t>RESUMO - ABRIL</t>
  </si>
  <si>
    <t>RESUMO - MAIO</t>
  </si>
  <si>
    <t>RESUMO - JULHO</t>
  </si>
  <si>
    <t>RESUMO - JUNHO</t>
  </si>
  <si>
    <t>RESUMO - AGOSTO</t>
  </si>
  <si>
    <t>RESUMO - SETEMBRO</t>
  </si>
  <si>
    <t>RESUMO - OUTUBRO</t>
  </si>
  <si>
    <t>empiricamente.com</t>
  </si>
  <si>
    <t xml:space="preserve">                              </t>
  </si>
  <si>
    <t>GRÁFICOS POR CATEGORIA</t>
  </si>
  <si>
    <t xml:space="preserve">RESUMO DE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</si>
</sst>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23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u/>
      <sz val="10"/>
      <color theme="1" tint="0.2499465926084170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  <font>
      <sz val="11"/>
      <color theme="2" tint="-0.14999847407452621"/>
      <name val="Calibri"/>
      <family val="2"/>
      <scheme val="minor"/>
    </font>
    <font>
      <sz val="22"/>
      <color theme="2" tint="-0.14999847407452621"/>
      <name val="Century Gothic"/>
      <family val="2"/>
      <scheme val="major"/>
    </font>
    <font>
      <sz val="10"/>
      <color theme="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0"/>
      <color theme="0"/>
      <name val="Century Gothic"/>
      <family val="2"/>
      <scheme val="major"/>
    </font>
    <font>
      <b/>
      <u/>
      <sz val="11"/>
      <color theme="1" tint="0.2499465926084170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22"/>
      <color theme="2" tint="-0.499984740745262"/>
      <name val="Century Gothic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FD605B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rgb="FF515151"/>
      </top>
      <bottom style="thin">
        <color rgb="FF51515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51515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7" applyNumberFormat="0" applyFill="0" applyAlignment="0" applyProtection="0"/>
    <xf numFmtId="0" fontId="1" fillId="0" borderId="8" applyNumberFormat="0" applyFill="0" applyBorder="0" applyAlignment="0" applyProtection="0"/>
    <xf numFmtId="0" fontId="2" fillId="0" borderId="9" applyNumberForma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12" fillId="6" borderId="0" xfId="0" applyFont="1" applyFill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8" fontId="2" fillId="0" borderId="1" xfId="2" applyNumberFormat="1" applyFont="1" applyBorder="1" applyAlignment="1">
      <alignment horizontal="center" vertical="center" wrapText="1"/>
    </xf>
    <xf numFmtId="0" fontId="12" fillId="8" borderId="0" xfId="0" applyFont="1" applyFill="1"/>
    <xf numFmtId="0" fontId="7" fillId="8" borderId="0" xfId="0" applyFont="1" applyFill="1"/>
    <xf numFmtId="0" fontId="0" fillId="8" borderId="0" xfId="0" applyFill="1"/>
    <xf numFmtId="8" fontId="2" fillId="2" borderId="4" xfId="0" applyNumberFormat="1" applyFont="1" applyFill="1" applyBorder="1" applyAlignment="1">
      <alignment horizontal="center" vertical="center"/>
    </xf>
    <xf numFmtId="49" fontId="16" fillId="9" borderId="30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5" fillId="10" borderId="27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left"/>
    </xf>
    <xf numFmtId="164" fontId="11" fillId="4" borderId="27" xfId="0" applyNumberFormat="1" applyFont="1" applyFill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49" fontId="17" fillId="9" borderId="30" xfId="0" applyNumberFormat="1" applyFont="1" applyFill="1" applyBorder="1" applyAlignment="1">
      <alignment horizontal="center" vertical="center"/>
    </xf>
    <xf numFmtId="8" fontId="18" fillId="10" borderId="27" xfId="0" applyNumberFormat="1" applyFont="1" applyFill="1" applyBorder="1" applyAlignment="1">
      <alignment horizontal="center"/>
    </xf>
    <xf numFmtId="164" fontId="10" fillId="4" borderId="27" xfId="0" applyNumberFormat="1" applyFont="1" applyFill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5" fillId="10" borderId="27" xfId="0" applyNumberFormat="1" applyFont="1" applyFill="1" applyBorder="1" applyAlignment="1">
      <alignment horizontal="center"/>
    </xf>
    <xf numFmtId="0" fontId="0" fillId="10" borderId="0" xfId="0" applyFill="1"/>
    <xf numFmtId="164" fontId="15" fillId="10" borderId="38" xfId="0" applyNumberFormat="1" applyFont="1" applyFill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49" fontId="16" fillId="9" borderId="39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0" fontId="0" fillId="11" borderId="0" xfId="0" applyFill="1"/>
    <xf numFmtId="164" fontId="11" fillId="0" borderId="40" xfId="0" applyNumberFormat="1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0" fontId="0" fillId="0" borderId="34" xfId="0" applyBorder="1"/>
    <xf numFmtId="49" fontId="16" fillId="9" borderId="34" xfId="0" applyNumberFormat="1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center"/>
    </xf>
    <xf numFmtId="164" fontId="15" fillId="10" borderId="36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18" fillId="10" borderId="38" xfId="0" applyNumberFormat="1" applyFont="1" applyFill="1" applyBorder="1" applyAlignment="1">
      <alignment horizontal="center"/>
    </xf>
    <xf numFmtId="164" fontId="18" fillId="10" borderId="27" xfId="0" applyNumberFormat="1" applyFont="1" applyFill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18" fillId="10" borderId="36" xfId="0" applyNumberFormat="1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" xfId="2" applyBorder="1" applyAlignment="1" applyProtection="1">
      <alignment vertical="center"/>
      <protection locked="0"/>
    </xf>
    <xf numFmtId="0" fontId="1" fillId="0" borderId="6" xfId="2" applyBorder="1" applyAlignment="1" applyProtection="1">
      <alignment vertical="center"/>
      <protection locked="0"/>
    </xf>
    <xf numFmtId="8" fontId="1" fillId="0" borderId="2" xfId="0" applyNumberFormat="1" applyFont="1" applyBorder="1" applyProtection="1"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  <xf numFmtId="8" fontId="2" fillId="0" borderId="2" xfId="0" applyNumberFormat="1" applyFont="1" applyBorder="1" applyAlignment="1" applyProtection="1">
      <alignment horizontal="center"/>
      <protection locked="0"/>
    </xf>
    <xf numFmtId="0" fontId="1" fillId="0" borderId="1" xfId="2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19" xfId="2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164" fontId="1" fillId="0" borderId="6" xfId="2" applyNumberFormat="1" applyBorder="1" applyAlignment="1" applyProtection="1">
      <alignment horizontal="center" vertical="center"/>
      <protection locked="0"/>
    </xf>
    <xf numFmtId="0" fontId="1" fillId="0" borderId="18" xfId="2" applyBorder="1" applyAlignment="1" applyProtection="1">
      <alignment horizontal="center" vertical="center"/>
      <protection locked="0"/>
    </xf>
    <xf numFmtId="14" fontId="1" fillId="0" borderId="22" xfId="2" applyNumberFormat="1" applyBorder="1" applyAlignment="1" applyProtection="1">
      <alignment horizontal="center" vertical="center"/>
      <protection locked="0"/>
    </xf>
    <xf numFmtId="14" fontId="1" fillId="0" borderId="24" xfId="2" applyNumberFormat="1" applyBorder="1" applyAlignment="1" applyProtection="1">
      <alignment horizontal="center" vertical="center"/>
      <protection locked="0"/>
    </xf>
    <xf numFmtId="14" fontId="1" fillId="0" borderId="25" xfId="2" applyNumberFormat="1" applyBorder="1" applyAlignment="1" applyProtection="1">
      <alignment horizontal="center" vertical="center"/>
      <protection locked="0"/>
    </xf>
    <xf numFmtId="14" fontId="1" fillId="0" borderId="13" xfId="2" applyNumberFormat="1" applyBorder="1" applyAlignment="1" applyProtection="1">
      <alignment horizontal="center" vertical="center"/>
      <protection locked="0"/>
    </xf>
    <xf numFmtId="14" fontId="1" fillId="0" borderId="11" xfId="2" applyNumberFormat="1" applyBorder="1" applyAlignment="1" applyProtection="1">
      <alignment horizontal="center" vertical="center"/>
      <protection locked="0"/>
    </xf>
    <xf numFmtId="14" fontId="1" fillId="0" borderId="23" xfId="2" applyNumberFormat="1" applyBorder="1" applyAlignment="1" applyProtection="1">
      <alignment horizontal="center" vertical="center"/>
      <protection locked="0"/>
    </xf>
    <xf numFmtId="14" fontId="1" fillId="0" borderId="14" xfId="2" applyNumberFormat="1" applyBorder="1" applyAlignment="1" applyProtection="1">
      <alignment horizontal="center" vertical="center"/>
      <protection locked="0"/>
    </xf>
    <xf numFmtId="14" fontId="1" fillId="0" borderId="15" xfId="2" applyNumberFormat="1" applyBorder="1" applyAlignment="1" applyProtection="1">
      <alignment horizontal="center" vertical="center"/>
      <protection locked="0"/>
    </xf>
    <xf numFmtId="14" fontId="1" fillId="0" borderId="10" xfId="2" applyNumberFormat="1" applyBorder="1" applyAlignment="1" applyProtection="1">
      <alignment horizontal="center" vertical="center"/>
      <protection locked="0"/>
    </xf>
    <xf numFmtId="14" fontId="1" fillId="0" borderId="20" xfId="2" applyNumberFormat="1" applyBorder="1" applyAlignment="1" applyProtection="1">
      <alignment horizontal="center" vertical="center"/>
      <protection locked="0"/>
    </xf>
    <xf numFmtId="14" fontId="1" fillId="0" borderId="6" xfId="2" applyNumberFormat="1" applyBorder="1" applyAlignment="1" applyProtection="1">
      <alignment horizontal="center" vertical="center"/>
      <protection locked="0"/>
    </xf>
    <xf numFmtId="14" fontId="1" fillId="0" borderId="5" xfId="2" applyNumberFormat="1" applyBorder="1" applyAlignment="1" applyProtection="1">
      <alignment horizontal="center" vertical="center"/>
      <protection locked="0"/>
    </xf>
    <xf numFmtId="14" fontId="1" fillId="0" borderId="19" xfId="2" applyNumberFormat="1" applyBorder="1" applyAlignment="1" applyProtection="1">
      <alignment horizontal="center" vertical="center"/>
      <protection locked="0"/>
    </xf>
    <xf numFmtId="8" fontId="1" fillId="0" borderId="3" xfId="0" applyNumberFormat="1" applyFont="1" applyBorder="1" applyProtection="1">
      <protection locked="0"/>
    </xf>
    <xf numFmtId="0" fontId="1" fillId="0" borderId="0" xfId="2" applyBorder="1" applyAlignment="1" applyProtection="1">
      <alignment vertical="center"/>
      <protection locked="0"/>
    </xf>
    <xf numFmtId="164" fontId="1" fillId="0" borderId="0" xfId="2" applyNumberFormat="1" applyBorder="1" applyAlignment="1" applyProtection="1">
      <alignment horizontal="center" vertical="center"/>
      <protection locked="0"/>
    </xf>
    <xf numFmtId="0" fontId="1" fillId="0" borderId="0" xfId="2" applyBorder="1" applyAlignment="1" applyProtection="1">
      <alignment horizontal="center" vertical="center"/>
      <protection locked="0"/>
    </xf>
    <xf numFmtId="14" fontId="1" fillId="0" borderId="0" xfId="2" applyNumberFormat="1" applyBorder="1" applyAlignment="1" applyProtection="1">
      <alignment horizontal="center" vertical="center"/>
      <protection locked="0"/>
    </xf>
    <xf numFmtId="164" fontId="0" fillId="0" borderId="12" xfId="4" applyNumberFormat="1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8" fontId="2" fillId="2" borderId="4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164" fontId="2" fillId="0" borderId="2" xfId="2" applyNumberFormat="1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8" fontId="2" fillId="0" borderId="1" xfId="2" applyNumberFormat="1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3" xfId="2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" fillId="7" borderId="1" xfId="2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8" fontId="11" fillId="4" borderId="27" xfId="0" applyNumberFormat="1" applyFont="1" applyFill="1" applyBorder="1" applyAlignment="1">
      <alignment horizontal="center"/>
    </xf>
    <xf numFmtId="8" fontId="11" fillId="0" borderId="27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0" fontId="2" fillId="0" borderId="5" xfId="2" applyFont="1" applyBorder="1" applyAlignment="1" applyProtection="1">
      <alignment vertical="center"/>
    </xf>
    <xf numFmtId="0" fontId="2" fillId="0" borderId="6" xfId="2" applyFont="1" applyBorder="1" applyAlignment="1" applyProtection="1">
      <alignment vertical="center"/>
    </xf>
    <xf numFmtId="8" fontId="2" fillId="2" borderId="4" xfId="0" applyNumberFormat="1" applyFont="1" applyFill="1" applyBorder="1"/>
    <xf numFmtId="0" fontId="1" fillId="0" borderId="5" xfId="2" applyBorder="1" applyAlignment="1" applyProtection="1">
      <alignment vertical="center"/>
    </xf>
    <xf numFmtId="0" fontId="1" fillId="0" borderId="6" xfId="2" applyBorder="1" applyAlignment="1" applyProtection="1">
      <alignment vertical="center"/>
    </xf>
    <xf numFmtId="8" fontId="1" fillId="0" borderId="2" xfId="0" applyNumberFormat="1" applyFont="1" applyBorder="1"/>
    <xf numFmtId="0" fontId="21" fillId="6" borderId="0" xfId="5" applyFont="1" applyFill="1" applyBorder="1" applyAlignment="1" applyProtection="1">
      <alignment horizontal="left"/>
      <protection locked="0"/>
    </xf>
    <xf numFmtId="0" fontId="12" fillId="6" borderId="11" xfId="0" applyFont="1" applyFill="1" applyBorder="1"/>
    <xf numFmtId="0" fontId="12" fillId="6" borderId="0" xfId="0" applyFont="1" applyFill="1" applyAlignment="1">
      <alignment horizontal="left"/>
    </xf>
    <xf numFmtId="0" fontId="13" fillId="8" borderId="0" xfId="1" applyFont="1" applyFill="1" applyBorder="1" applyAlignment="1" applyProtection="1"/>
    <xf numFmtId="0" fontId="1" fillId="5" borderId="0" xfId="0" applyFont="1" applyFill="1" applyAlignment="1">
      <alignment horizontal="center"/>
    </xf>
    <xf numFmtId="0" fontId="1" fillId="7" borderId="1" xfId="2" applyFill="1" applyBorder="1" applyAlignment="1" applyProtection="1">
      <alignment horizontal="center" vertical="center" wrapText="1"/>
    </xf>
    <xf numFmtId="164" fontId="0" fillId="0" borderId="0" xfId="0" applyNumberFormat="1"/>
    <xf numFmtId="0" fontId="6" fillId="3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top"/>
    </xf>
    <xf numFmtId="0" fontId="10" fillId="0" borderId="42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22" fillId="6" borderId="0" xfId="1" applyFont="1" applyFill="1" applyBorder="1" applyAlignment="1" applyProtection="1">
      <alignment horizontal="center"/>
    </xf>
    <xf numFmtId="0" fontId="21" fillId="6" borderId="0" xfId="5" applyFont="1" applyFill="1" applyBorder="1" applyAlignment="1" applyProtection="1">
      <alignment horizontal="center"/>
      <protection locked="0"/>
    </xf>
    <xf numFmtId="0" fontId="2" fillId="0" borderId="2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8" fontId="2" fillId="2" borderId="15" xfId="0" applyNumberFormat="1" applyFont="1" applyFill="1" applyBorder="1" applyAlignment="1">
      <alignment horizontal="center" vertical="center"/>
    </xf>
    <xf numFmtId="8" fontId="2" fillId="2" borderId="14" xfId="0" applyNumberFormat="1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1" fillId="0" borderId="2" xfId="2" applyBorder="1" applyAlignment="1" applyProtection="1">
      <alignment horizontal="center" vertical="center" wrapText="1"/>
      <protection locked="0"/>
    </xf>
    <xf numFmtId="0" fontId="1" fillId="0" borderId="3" xfId="2" applyBorder="1" applyAlignment="1" applyProtection="1">
      <alignment horizontal="center" vertical="center" wrapText="1"/>
      <protection locked="0"/>
    </xf>
    <xf numFmtId="0" fontId="1" fillId="0" borderId="4" xfId="2" applyBorder="1" applyAlignment="1" applyProtection="1">
      <alignment horizontal="center" vertical="center" wrapText="1"/>
      <protection locked="0"/>
    </xf>
    <xf numFmtId="0" fontId="1" fillId="0" borderId="5" xfId="2" applyBorder="1" applyAlignment="1" applyProtection="1">
      <alignment vertical="center"/>
      <protection locked="0"/>
    </xf>
    <xf numFmtId="0" fontId="1" fillId="0" borderId="6" xfId="2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" fillId="0" borderId="28" xfId="2" applyBorder="1" applyAlignment="1">
      <alignment horizontal="left" vertical="center" wrapText="1"/>
    </xf>
    <xf numFmtId="0" fontId="1" fillId="0" borderId="29" xfId="2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2" fillId="0" borderId="2" xfId="2" applyNumberFormat="1" applyFont="1" applyBorder="1" applyAlignment="1" applyProtection="1">
      <alignment horizontal="center" vertical="center" wrapText="1"/>
    </xf>
    <xf numFmtId="0" fontId="2" fillId="0" borderId="4" xfId="2" applyFont="1" applyBorder="1" applyAlignment="1" applyProtection="1">
      <alignment horizontal="center" vertical="center" wrapText="1"/>
    </xf>
    <xf numFmtId="0" fontId="1" fillId="0" borderId="5" xfId="2" applyBorder="1" applyAlignment="1" applyProtection="1">
      <alignment horizontal="left" vertical="center" wrapText="1"/>
    </xf>
    <xf numFmtId="0" fontId="1" fillId="0" borderId="6" xfId="2" applyBorder="1" applyAlignment="1" applyProtection="1">
      <alignment horizontal="left" vertical="center" wrapText="1"/>
    </xf>
    <xf numFmtId="0" fontId="2" fillId="0" borderId="5" xfId="2" applyFont="1" applyBorder="1" applyAlignment="1" applyProtection="1">
      <alignment horizontal="center" vertical="center" wrapText="1"/>
    </xf>
    <xf numFmtId="0" fontId="2" fillId="0" borderId="6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28" xfId="2" applyFont="1" applyBorder="1" applyAlignment="1" applyProtection="1">
      <alignment horizontal="center" vertical="center" wrapText="1"/>
    </xf>
    <xf numFmtId="0" fontId="2" fillId="0" borderId="29" xfId="2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14" xfId="2" applyFont="1" applyBorder="1" applyAlignment="1" applyProtection="1">
      <alignment horizontal="center" vertical="center" wrapText="1"/>
    </xf>
    <xf numFmtId="0" fontId="13" fillId="6" borderId="0" xfId="1" applyFont="1" applyFill="1" applyBorder="1" applyAlignment="1" applyProtection="1">
      <alignment horizontal="center" vertical="top"/>
      <protection locked="0"/>
    </xf>
    <xf numFmtId="0" fontId="1" fillId="0" borderId="28" xfId="2" applyBorder="1" applyAlignment="1" applyProtection="1">
      <alignment horizontal="left" vertical="center" wrapText="1"/>
    </xf>
    <xf numFmtId="0" fontId="1" fillId="0" borderId="29" xfId="2" applyBorder="1" applyAlignment="1" applyProtection="1">
      <alignment horizontal="left" vertical="center" wrapText="1"/>
    </xf>
    <xf numFmtId="0" fontId="21" fillId="6" borderId="0" xfId="5" applyFont="1" applyFill="1" applyBorder="1" applyAlignment="1" applyProtection="1">
      <alignment horizontal="center"/>
    </xf>
  </cellXfs>
  <cellStyles count="6">
    <cellStyle name="Hiperlink" xfId="5" builtinId="8"/>
    <cellStyle name="Moeda" xfId="4" builtinId="4"/>
    <cellStyle name="Normal" xfId="0" builtinId="0" customBuiltin="1"/>
    <cellStyle name="Título 1" xfId="1" builtinId="16" customBuiltin="1"/>
    <cellStyle name="Título 2" xfId="2" builtinId="17" customBuiltin="1"/>
    <cellStyle name="Título 3" xfId="3" builtinId="18" customBuiltin="1"/>
  </cellStyles>
  <dxfs count="12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name val="Century Gothic"/>
        <family val="2"/>
        <scheme val="major"/>
      </font>
      <numFmt numFmtId="12" formatCode="&quot;R$&quot;\ #,##0.00;[Red]\-&quot;R$&quot;\ #,##0.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2" formatCode="&quot;R$&quot;\ #,##0.00;[Red]\-&quot;R$&quot;\ #,##0.0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name val="Century Gothic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rgb="FFA6A6A6"/>
        </left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maj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ajor"/>
      </font>
      <fill>
        <patternFill patternType="solid">
          <fgColor indexed="64"/>
          <bgColor theme="3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R$&quot;\ 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indexed="64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2" tint="-0.14996795556505021"/>
      </font>
    </dxf>
    <dxf>
      <font>
        <color theme="2" tint="-0.14996795556505021"/>
      </font>
    </dxf>
    <dxf>
      <font>
        <color theme="2" tint="-0.14996795556505021"/>
      </font>
    </dxf>
  </dxfs>
  <tableStyles count="3" defaultTableStyle="TableStyleLight9" defaultPivotStyle="PivotStyleLight16">
    <tableStyle name="Estilo de Tabela 1" pivot="0" count="1" xr9:uid="{6AAE6F20-925C-486C-ABA3-2EB5A4D8E950}">
      <tableStyleElement type="totalRow" dxfId="1277"/>
    </tableStyle>
    <tableStyle name="Estilo de Tabela 2" pivot="0" count="2" xr9:uid="{2ABF2817-E5FB-4AAB-99C3-3A106CEE8CA9}">
      <tableStyleElement type="firstRowStripe" dxfId="1276"/>
      <tableStyleElement type="secondRowStripe" dxfId="1275"/>
    </tableStyle>
    <tableStyle name="Orçamento pessoal mensal" pivot="0" count="7" xr9:uid="{DF2684C2-C435-47FA-9646-E632C3AE8948}">
      <tableStyleElement type="wholeTable" dxfId="1274"/>
      <tableStyleElement type="headerRow" dxfId="1273"/>
      <tableStyleElement type="totalRow" dxfId="1272"/>
      <tableStyleElement type="firstColumn" dxfId="1271"/>
      <tableStyleElement type="lastColumn" dxfId="1270"/>
      <tableStyleElement type="firstRowStripe" dxfId="1269"/>
      <tableStyleElement type="firstColumnStripe" dxfId="12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Valor</a:t>
            </a:r>
            <a:r>
              <a:rPr lang="pt-BR" baseline="0"/>
              <a:t> mensal gasto em cada categoria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31469316127088E-2"/>
          <c:y val="0.13815224742335289"/>
          <c:w val="0.91713928184150662"/>
          <c:h val="0.80968517183913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RESUMO!$B$66</c:f>
              <c:strCache>
                <c:ptCount val="1"/>
                <c:pt idx="0">
                  <c:v>MORADIA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RESUMO!$B$76:$P$76</c15:sqref>
                  </c15:fullRef>
                </c:ext>
              </c:extLst>
              <c:f>RESUMO!$E$76:$P$76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3-4654-A885-0C81F44C5EFC}"/>
            </c:ext>
          </c:extLst>
        </c:ser>
        <c:ser>
          <c:idx val="1"/>
          <c:order val="1"/>
          <c:tx>
            <c:strRef>
              <c:f>RESUMO!$B$79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RESUMO!$B$86:$P$86</c15:sqref>
                  </c15:fullRef>
                </c:ext>
              </c:extLst>
              <c:f>RESUMO!$E$86:$P$86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3-4654-A885-0C81F44C5EFC}"/>
            </c:ext>
          </c:extLst>
        </c:ser>
        <c:ser>
          <c:idx val="2"/>
          <c:order val="2"/>
          <c:tx>
            <c:strRef>
              <c:f>RESUMO!$B$89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RESUMO!$B$94:$P$94</c15:sqref>
                  </c15:fullRef>
                </c:ext>
              </c:extLst>
              <c:f>RESUMO!$E$94:$P$94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3-4654-A885-0C81F44C5EFC}"/>
            </c:ext>
          </c:extLst>
        </c:ser>
        <c:ser>
          <c:idx val="3"/>
          <c:order val="3"/>
          <c:tx>
            <c:strRef>
              <c:f>RESUMO!$B$97</c:f>
              <c:strCache>
                <c:ptCount val="1"/>
                <c:pt idx="0">
                  <c:v>ENTRETENIMENTO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RESUMO!$B$107:$P$107</c15:sqref>
                  </c15:fullRef>
                </c:ext>
              </c:extLst>
              <c:f>RESUMO!$E$107:$P$107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3-4654-A885-0C81F44C5EFC}"/>
            </c:ext>
          </c:extLst>
        </c:ser>
        <c:ser>
          <c:idx val="4"/>
          <c:order val="4"/>
          <c:tx>
            <c:strRef>
              <c:f>RESUMO!$B$110</c:f>
              <c:strCache>
                <c:ptCount val="1"/>
                <c:pt idx="0">
                  <c:v>CUIDADOS PESSOAIS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RESUMO!$B$124:$P$124</c15:sqref>
                  </c15:fullRef>
                </c:ext>
              </c:extLst>
              <c:f>RESUMO!$E$124:$P$124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03-4654-A885-0C81F44C5EFC}"/>
            </c:ext>
          </c:extLst>
        </c:ser>
        <c:ser>
          <c:idx val="5"/>
          <c:order val="5"/>
          <c:tx>
            <c:strRef>
              <c:f>RESUMO!$B$127</c:f>
              <c:strCache>
                <c:ptCount val="1"/>
                <c:pt idx="0">
                  <c:v>SEGURO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RESUMO!$B$131:$P$131</c15:sqref>
                  </c15:fullRef>
                </c:ext>
              </c:extLst>
              <c:f>RESUMO!$E$131:$P$131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03-4654-A885-0C81F44C5EFC}"/>
            </c:ext>
          </c:extLst>
        </c:ser>
        <c:ser>
          <c:idx val="6"/>
          <c:order val="6"/>
          <c:tx>
            <c:strRef>
              <c:f>RESUMO!$B$134</c:f>
              <c:strCache>
                <c:ptCount val="1"/>
                <c:pt idx="0">
                  <c:v>POUPANÇA/INVESTIMENTO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RESUMO!$B$139:$P$139</c15:sqref>
                  </c15:fullRef>
                </c:ext>
              </c:extLst>
              <c:f>RESUMO!$E$139:$P$139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03-4654-A885-0C81F44C5EFC}"/>
            </c:ext>
          </c:extLst>
        </c:ser>
        <c:ser>
          <c:idx val="7"/>
          <c:order val="7"/>
          <c:tx>
            <c:strRef>
              <c:f>RESUMO!$B$142</c:f>
              <c:strCache>
                <c:ptCount val="1"/>
                <c:pt idx="0">
                  <c:v>PRESENTE/DOAÇÕES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RESUMO!$B$145:$P$145</c15:sqref>
                  </c15:fullRef>
                </c:ext>
              </c:extLst>
              <c:f>RESUMO!$E$145:$P$145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03-4654-A885-0C81F44C5EFC}"/>
            </c:ext>
          </c:extLst>
        </c:ser>
        <c:ser>
          <c:idx val="8"/>
          <c:order val="8"/>
          <c:tx>
            <c:strRef>
              <c:f>RESUMO!$B$148</c:f>
              <c:strCache>
                <c:ptCount val="1"/>
                <c:pt idx="0">
                  <c:v>ACESSORIA JURIDICA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RESUMO!$B$152:$P$152</c15:sqref>
                  </c15:fullRef>
                </c:ext>
              </c:extLst>
              <c:f>RESUMO!$E$152:$P$152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03-4654-A885-0C81F44C5EFC}"/>
            </c:ext>
          </c:extLst>
        </c:ser>
        <c:ser>
          <c:idx val="9"/>
          <c:order val="9"/>
          <c:tx>
            <c:strRef>
              <c:f>RESUMO!$B$155</c:f>
              <c:strCache>
                <c:ptCount val="1"/>
                <c:pt idx="0">
                  <c:v>ANIMAIS DE ESTIMAÇÃO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RESUMO!$B$160:$P$160</c15:sqref>
                  </c15:fullRef>
                </c:ext>
              </c:extLst>
              <c:f>RESUMO!$E$160:$P$160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03-4654-A885-0C81F44C5EFC}"/>
            </c:ext>
          </c:extLst>
        </c:ser>
        <c:ser>
          <c:idx val="10"/>
          <c:order val="10"/>
          <c:tx>
            <c:strRef>
              <c:f>RESUMO!$B$163</c:f>
              <c:strCache>
                <c:ptCount val="1"/>
                <c:pt idx="0">
                  <c:v>EMPRÉSTIMO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RESUMO!$B$169:$P$169</c15:sqref>
                  </c15:fullRef>
                </c:ext>
              </c:extLst>
              <c:f>RESUMO!$E$169:$P$169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03-4654-A885-0C81F44C5EFC}"/>
            </c:ext>
          </c:extLst>
        </c:ser>
        <c:ser>
          <c:idx val="11"/>
          <c:order val="11"/>
          <c:tx>
            <c:strRef>
              <c:f>RESUMO!$B$172</c:f>
              <c:strCache>
                <c:ptCount val="1"/>
                <c:pt idx="0">
                  <c:v>IMPOSTOS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RESUMO!$B$65:$P$65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RESUMO!$B$176:$P$176</c15:sqref>
                  </c15:fullRef>
                </c:ext>
              </c:extLst>
              <c:f>RESUMO!$E$176:$P$176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03-4654-A885-0C81F44C5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025584"/>
        <c:axId val="894026064"/>
      </c:barChart>
      <c:catAx>
        <c:axId val="89402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4026064"/>
        <c:crosses val="autoZero"/>
        <c:auto val="1"/>
        <c:lblAlgn val="ctr"/>
        <c:lblOffset val="100"/>
        <c:noMultiLvlLbl val="0"/>
      </c:catAx>
      <c:valAx>
        <c:axId val="89402606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Valor gasto mensal em cada categoria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402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86743103738408"/>
          <c:y val="4.9431363358416761E-2"/>
          <c:w val="0.77876996824831679"/>
          <c:h val="0.10164920218464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POUPANÇA/INVESTIMENTO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RESUMO!$C$134</c:f>
              <c:strCache>
                <c:ptCount val="1"/>
                <c:pt idx="0">
                  <c:v>Aposentadoria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RESUMO!$D$133:$P$133</c15:sqref>
                  </c15:fullRef>
                </c:ext>
              </c:extLst>
              <c:f>RESUMO!$E$133:$P$133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RESUMO!$D$134:$P$134</c15:sqref>
                  </c15:fullRef>
                </c:ext>
              </c:extLst>
              <c:f>RESUMO!$E$134:$P$134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C-47D1-8D2D-8EB02CE45CC0}"/>
            </c:ext>
          </c:extLst>
        </c:ser>
        <c:ser>
          <c:idx val="1"/>
          <c:order val="1"/>
          <c:tx>
            <c:strRef>
              <c:f>RESUMO!$C$135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RESUMO!$D$133:$P$133</c15:sqref>
                  </c15:fullRef>
                </c:ext>
              </c:extLst>
              <c:f>RESUMO!$E$133:$P$133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RESUMO!$D$135:$P$135</c15:sqref>
                  </c15:fullRef>
                </c:ext>
              </c:extLst>
              <c:f>RESUMO!$E$135:$P$135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C-47D1-8D2D-8EB02CE45CC0}"/>
            </c:ext>
          </c:extLst>
        </c:ser>
        <c:ser>
          <c:idx val="2"/>
          <c:order val="2"/>
          <c:tx>
            <c:strRef>
              <c:f>RESUMO!$C$136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RESUMO!$D$133:$P$133</c15:sqref>
                  </c15:fullRef>
                </c:ext>
              </c:extLst>
              <c:f>RESUMO!$E$133:$P$133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RESUMO!$D$136:$P$136</c15:sqref>
                  </c15:fullRef>
                </c:ext>
              </c:extLst>
              <c:f>RESUMO!$E$136:$P$136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C-47D1-8D2D-8EB02CE45CC0}"/>
            </c:ext>
          </c:extLst>
        </c:ser>
        <c:ser>
          <c:idx val="3"/>
          <c:order val="3"/>
          <c:tx>
            <c:strRef>
              <c:f>RESUMO!$C$137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RESUMO!$D$133:$P$133</c15:sqref>
                  </c15:fullRef>
                </c:ext>
              </c:extLst>
              <c:f>RESUMO!$E$133:$P$133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RESUMO!$D$137:$P$137</c15:sqref>
                  </c15:fullRef>
                </c:ext>
              </c:extLst>
              <c:f>RESUMO!$E$137:$P$137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3C-47D1-8D2D-8EB02CE45CC0}"/>
            </c:ext>
          </c:extLst>
        </c:ser>
        <c:ser>
          <c:idx val="4"/>
          <c:order val="4"/>
          <c:tx>
            <c:strRef>
              <c:f>RESUMO!$C$138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RESUMO!$D$133:$P$133</c15:sqref>
                  </c15:fullRef>
                </c:ext>
              </c:extLst>
              <c:f>RESUMO!$E$133:$P$133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RESUMO!$D$138:$P$138</c15:sqref>
                  </c15:fullRef>
                </c:ext>
              </c:extLst>
              <c:f>RESUMO!$E$138:$P$138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3C-47D1-8D2D-8EB02CE45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601808"/>
        <c:axId val="68860852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RESUMO!$C$139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RESUMO!$D$133:$P$133</c15:sqref>
                        </c15:fullRef>
                        <c15:formulaRef>
                          <c15:sqref>RESUMO!$E$133:$P$133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RESUMO!$D$139:$P$139</c15:sqref>
                        </c15:fullRef>
                        <c15:formulaRef>
                          <c15:sqref>RESUMO!$E$139:$P$139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E3C-47D1-8D2D-8EB02CE45CC0}"/>
                  </c:ext>
                </c:extLst>
              </c15:ser>
            </c15:filteredBarSeries>
          </c:ext>
        </c:extLst>
      </c:barChart>
      <c:catAx>
        <c:axId val="68860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8608528"/>
        <c:crosses val="autoZero"/>
        <c:auto val="1"/>
        <c:lblAlgn val="ctr"/>
        <c:lblOffset val="100"/>
        <c:noMultiLvlLbl val="0"/>
      </c:catAx>
      <c:valAx>
        <c:axId val="68860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860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PRESENTES/DOAÇÕES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RESUMO!$C$142</c:f>
              <c:strCache>
                <c:ptCount val="1"/>
                <c:pt idx="0">
                  <c:v>Instituição beneficente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RESUMO!$D$141:$P$141</c15:sqref>
                  </c15:fullRef>
                </c:ext>
              </c:extLst>
              <c:f>RESUMO!$E$141:$P$141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RESUMO!$D$142:$P$142</c15:sqref>
                  </c15:fullRef>
                </c:ext>
              </c:extLst>
              <c:f>RESUMO!$E$142:$P$142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E-485C-BEDB-7A58CE329B25}"/>
            </c:ext>
          </c:extLst>
        </c:ser>
        <c:ser>
          <c:idx val="1"/>
          <c:order val="1"/>
          <c:tx>
            <c:strRef>
              <c:f>RESUMO!$C$143</c:f>
              <c:strCache>
                <c:ptCount val="1"/>
                <c:pt idx="0">
                  <c:v>Instituição beneficente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RESUMO!$D$141:$P$141</c15:sqref>
                  </c15:fullRef>
                </c:ext>
              </c:extLst>
              <c:f>RESUMO!$E$141:$P$141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RESUMO!$D$143:$P$143</c15:sqref>
                  </c15:fullRef>
                </c:ext>
              </c:extLst>
              <c:f>RESUMO!$E$143:$P$143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E-485C-BEDB-7A58CE329B25}"/>
            </c:ext>
          </c:extLst>
        </c:ser>
        <c:ser>
          <c:idx val="2"/>
          <c:order val="2"/>
          <c:tx>
            <c:strRef>
              <c:f>RESUMO!$C$144</c:f>
              <c:strCache>
                <c:ptCount val="1"/>
                <c:pt idx="0">
                  <c:v>Instituição beneficente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RESUMO!$D$141:$P$141</c15:sqref>
                  </c15:fullRef>
                </c:ext>
              </c:extLst>
              <c:f>RESUMO!$E$141:$P$141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RESUMO!$D$144:$P$144</c15:sqref>
                  </c15:fullRef>
                </c:ext>
              </c:extLst>
              <c:f>RESUMO!$E$144:$P$144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3E-485C-BEDB-7A58CE329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621488"/>
        <c:axId val="68859940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RESUMO!$C$145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RESUMO!$D$141:$P$141</c15:sqref>
                        </c15:fullRef>
                        <c15:formulaRef>
                          <c15:sqref>RESUMO!$E$141:$P$141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RESUMO!$D$145:$P$145</c15:sqref>
                        </c15:fullRef>
                        <c15:formulaRef>
                          <c15:sqref>RESUMO!$E$145:$P$145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13E-485C-BEDB-7A58CE329B25}"/>
                  </c:ext>
                </c:extLst>
              </c15:ser>
            </c15:filteredBarSeries>
          </c:ext>
        </c:extLst>
      </c:barChart>
      <c:catAx>
        <c:axId val="68862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8599408"/>
        <c:crosses val="autoZero"/>
        <c:auto val="1"/>
        <c:lblAlgn val="ctr"/>
        <c:lblOffset val="100"/>
        <c:noMultiLvlLbl val="0"/>
      </c:catAx>
      <c:valAx>
        <c:axId val="68859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862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ACESSORIA JURÍDICA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RESUMO!$C$148</c:f>
              <c:strCache>
                <c:ptCount val="1"/>
                <c:pt idx="0">
                  <c:v>Advogado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RESUMO!$D$147:$P$147</c15:sqref>
                  </c15:fullRef>
                </c:ext>
              </c:extLst>
              <c:f>RESUMO!$E$147:$P$147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RESUMO!$D$148:$P$148</c15:sqref>
                  </c15:fullRef>
                </c:ext>
              </c:extLst>
              <c:f>RESUMO!$E$148:$P$148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7-4C49-BBA9-2BE17F4B1DC6}"/>
            </c:ext>
          </c:extLst>
        </c:ser>
        <c:ser>
          <c:idx val="1"/>
          <c:order val="1"/>
          <c:tx>
            <c:strRef>
              <c:f>RESUMO!$C$149</c:f>
              <c:strCache>
                <c:ptCount val="1"/>
                <c:pt idx="0">
                  <c:v>Pensão alimentícia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RESUMO!$D$147:$P$147</c15:sqref>
                  </c15:fullRef>
                </c:ext>
              </c:extLst>
              <c:f>RESUMO!$E$147:$P$147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RESUMO!$D$149:$P$149</c15:sqref>
                  </c15:fullRef>
                </c:ext>
              </c:extLst>
              <c:f>RESUMO!$E$149:$P$149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7-4C49-BBA9-2BE17F4B1DC6}"/>
            </c:ext>
          </c:extLst>
        </c:ser>
        <c:ser>
          <c:idx val="2"/>
          <c:order val="2"/>
          <c:tx>
            <c:strRef>
              <c:f>RESUMO!$C$150</c:f>
              <c:strCache>
                <c:ptCount val="1"/>
                <c:pt idx="0">
                  <c:v>Pagamentos em garantia ou julgamento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RESUMO!$D$147:$P$147</c15:sqref>
                  </c15:fullRef>
                </c:ext>
              </c:extLst>
              <c:f>RESUMO!$E$147:$P$147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RESUMO!$D$150:$P$150</c15:sqref>
                  </c15:fullRef>
                </c:ext>
              </c:extLst>
              <c:f>RESUMO!$E$150:$P$150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17-4C49-BBA9-2BE17F4B1DC6}"/>
            </c:ext>
          </c:extLst>
        </c:ser>
        <c:ser>
          <c:idx val="3"/>
          <c:order val="3"/>
          <c:tx>
            <c:strRef>
              <c:f>RESUMO!$C$151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RESUMO!$D$147:$P$147</c15:sqref>
                  </c15:fullRef>
                </c:ext>
              </c:extLst>
              <c:f>RESUMO!$E$147:$P$147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RESUMO!$D$151:$P$151</c15:sqref>
                  </c15:fullRef>
                </c:ext>
              </c:extLst>
              <c:f>RESUMO!$E$151:$P$151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17-4C49-BBA9-2BE17F4B1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499135"/>
        <c:axId val="959487135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RESUMO!$C$152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RESUMO!$D$147:$P$147</c15:sqref>
                        </c15:fullRef>
                        <c15:formulaRef>
                          <c15:sqref>RESUMO!$E$147:$P$147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RESUMO!$D$152:$P$152</c15:sqref>
                        </c15:fullRef>
                        <c15:formulaRef>
                          <c15:sqref>RESUMO!$E$152:$P$152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E17-4C49-BBA9-2BE17F4B1DC6}"/>
                  </c:ext>
                </c:extLst>
              </c15:ser>
            </c15:filteredBarSeries>
          </c:ext>
        </c:extLst>
      </c:barChart>
      <c:catAx>
        <c:axId val="95949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9487135"/>
        <c:crosses val="autoZero"/>
        <c:auto val="1"/>
        <c:lblAlgn val="ctr"/>
        <c:lblOffset val="100"/>
        <c:noMultiLvlLbl val="0"/>
      </c:catAx>
      <c:valAx>
        <c:axId val="95948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949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ANIMAIS DE ESTIMAÇÃO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RESUMO!$C$155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RESUMO!$D$154:$P$154</c15:sqref>
                  </c15:fullRef>
                </c:ext>
              </c:extLst>
              <c:f>RESUMO!$E$154:$P$154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RESUMO!$D$155:$P$155</c15:sqref>
                  </c15:fullRef>
                </c:ext>
              </c:extLst>
              <c:f>RESUMO!$E$155:$P$155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3-4466-8B9E-C3849538C094}"/>
            </c:ext>
          </c:extLst>
        </c:ser>
        <c:ser>
          <c:idx val="1"/>
          <c:order val="1"/>
          <c:tx>
            <c:strRef>
              <c:f>RESUMO!$C$156</c:f>
              <c:strCache>
                <c:ptCount val="1"/>
                <c:pt idx="0">
                  <c:v>Médico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RESUMO!$D$154:$P$154</c15:sqref>
                  </c15:fullRef>
                </c:ext>
              </c:extLst>
              <c:f>RESUMO!$E$154:$P$154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RESUMO!$D$156:$P$156</c15:sqref>
                  </c15:fullRef>
                </c:ext>
              </c:extLst>
              <c:f>RESUMO!$E$156:$P$156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3-4466-8B9E-C3849538C094}"/>
            </c:ext>
          </c:extLst>
        </c:ser>
        <c:ser>
          <c:idx val="2"/>
          <c:order val="2"/>
          <c:tx>
            <c:strRef>
              <c:f>RESUMO!$C$157</c:f>
              <c:strCache>
                <c:ptCount val="1"/>
                <c:pt idx="0">
                  <c:v>Banho e tosa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RESUMO!$D$154:$P$154</c15:sqref>
                  </c15:fullRef>
                </c:ext>
              </c:extLst>
              <c:f>RESUMO!$E$154:$P$154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RESUMO!$D$157:$P$157</c15:sqref>
                  </c15:fullRef>
                </c:ext>
              </c:extLst>
              <c:f>RESUMO!$E$157:$P$157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3-4466-8B9E-C3849538C094}"/>
            </c:ext>
          </c:extLst>
        </c:ser>
        <c:ser>
          <c:idx val="3"/>
          <c:order val="3"/>
          <c:tx>
            <c:strRef>
              <c:f>RESUMO!$C$158</c:f>
              <c:strCache>
                <c:ptCount val="1"/>
                <c:pt idx="0">
                  <c:v>Brinquedos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RESUMO!$D$154:$P$154</c15:sqref>
                  </c15:fullRef>
                </c:ext>
              </c:extLst>
              <c:f>RESUMO!$E$154:$P$154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RESUMO!$D$158:$P$158</c15:sqref>
                  </c15:fullRef>
                </c:ext>
              </c:extLst>
              <c:f>RESUMO!$E$158:$P$158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C3-4466-8B9E-C3849538C094}"/>
            </c:ext>
          </c:extLst>
        </c:ser>
        <c:ser>
          <c:idx val="4"/>
          <c:order val="4"/>
          <c:tx>
            <c:strRef>
              <c:f>RESUMO!$C$159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RESUMO!$D$154:$P$154</c15:sqref>
                  </c15:fullRef>
                </c:ext>
              </c:extLst>
              <c:f>RESUMO!$E$154:$P$154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RESUMO!$D$159:$P$159</c15:sqref>
                  </c15:fullRef>
                </c:ext>
              </c:extLst>
              <c:f>RESUMO!$E$159:$P$159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C3-4466-8B9E-C3849538C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091504"/>
        <c:axId val="755110704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RESUMO!$C$160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RESUMO!$D$154:$P$154</c15:sqref>
                        </c15:fullRef>
                        <c15:formulaRef>
                          <c15:sqref>RESUMO!$E$154:$P$154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RESUMO!$D$160:$P$160</c15:sqref>
                        </c15:fullRef>
                        <c15:formulaRef>
                          <c15:sqref>RESUMO!$E$160:$P$160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DC3-4466-8B9E-C3849538C094}"/>
                  </c:ext>
                </c:extLst>
              </c15:ser>
            </c15:filteredBarSeries>
          </c:ext>
        </c:extLst>
      </c:barChart>
      <c:catAx>
        <c:axId val="7550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10704"/>
        <c:crosses val="autoZero"/>
        <c:auto val="1"/>
        <c:lblAlgn val="ctr"/>
        <c:lblOffset val="100"/>
        <c:noMultiLvlLbl val="0"/>
      </c:catAx>
      <c:valAx>
        <c:axId val="75511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09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EMPRÉSTIMO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RESUMO!$C$163</c:f>
              <c:strCache>
                <c:ptCount val="1"/>
                <c:pt idx="0">
                  <c:v>Pessoal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RESUMO!$D$162:$P$162</c15:sqref>
                  </c15:fullRef>
                </c:ext>
              </c:extLst>
              <c:f>RESUMO!$E$162:$P$162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RESUMO!$D$163:$P$163</c15:sqref>
                  </c15:fullRef>
                </c:ext>
              </c:extLst>
              <c:f>RESUMO!$E$163:$P$163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8-4395-8255-D4C4803D7785}"/>
            </c:ext>
          </c:extLst>
        </c:ser>
        <c:ser>
          <c:idx val="1"/>
          <c:order val="1"/>
          <c:tx>
            <c:strRef>
              <c:f>RESUMO!$C$164</c:f>
              <c:strCache>
                <c:ptCount val="1"/>
                <c:pt idx="0">
                  <c:v>Estudante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RESUMO!$D$162:$P$162</c15:sqref>
                  </c15:fullRef>
                </c:ext>
              </c:extLst>
              <c:f>RESUMO!$E$162:$P$162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RESUMO!$D$164:$P$164</c15:sqref>
                  </c15:fullRef>
                </c:ext>
              </c:extLst>
              <c:f>RESUMO!$E$164:$P$164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8-4395-8255-D4C4803D7785}"/>
            </c:ext>
          </c:extLst>
        </c:ser>
        <c:ser>
          <c:idx val="2"/>
          <c:order val="2"/>
          <c:tx>
            <c:strRef>
              <c:f>RESUMO!$C$165</c:f>
              <c:strCache>
                <c:ptCount val="1"/>
                <c:pt idx="0">
                  <c:v>Cartão de crédito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RESUMO!$D$162:$P$162</c15:sqref>
                  </c15:fullRef>
                </c:ext>
              </c:extLst>
              <c:f>RESUMO!$E$162:$P$162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RESUMO!$D$165:$P$165</c15:sqref>
                  </c15:fullRef>
                </c:ext>
              </c:extLst>
              <c:f>RESUMO!$E$165:$P$165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8-4395-8255-D4C4803D7785}"/>
            </c:ext>
          </c:extLst>
        </c:ser>
        <c:ser>
          <c:idx val="3"/>
          <c:order val="3"/>
          <c:tx>
            <c:strRef>
              <c:f>RESUMO!$C$166</c:f>
              <c:strCache>
                <c:ptCount val="1"/>
                <c:pt idx="0">
                  <c:v>Cartão de crédito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RESUMO!$D$162:$P$162</c15:sqref>
                  </c15:fullRef>
                </c:ext>
              </c:extLst>
              <c:f>RESUMO!$E$162:$P$162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RESUMO!$D$166:$P$166</c15:sqref>
                  </c15:fullRef>
                </c:ext>
              </c:extLst>
              <c:f>RESUMO!$E$166:$P$166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B8-4395-8255-D4C4803D7785}"/>
            </c:ext>
          </c:extLst>
        </c:ser>
        <c:ser>
          <c:idx val="4"/>
          <c:order val="4"/>
          <c:tx>
            <c:strRef>
              <c:f>RESUMO!$C$167</c:f>
              <c:strCache>
                <c:ptCount val="1"/>
                <c:pt idx="0">
                  <c:v>Cartão de crédito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RESUMO!$D$162:$P$162</c15:sqref>
                  </c15:fullRef>
                </c:ext>
              </c:extLst>
              <c:f>RESUMO!$E$162:$P$162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RESUMO!$D$167:$P$167</c15:sqref>
                  </c15:fullRef>
                </c:ext>
              </c:extLst>
              <c:f>RESUMO!$E$167:$P$167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8-4395-8255-D4C4803D7785}"/>
            </c:ext>
          </c:extLst>
        </c:ser>
        <c:ser>
          <c:idx val="5"/>
          <c:order val="5"/>
          <c:tx>
            <c:strRef>
              <c:f>RESUMO!$C$168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RESUMO!$D$162:$P$162</c15:sqref>
                  </c15:fullRef>
                </c:ext>
              </c:extLst>
              <c:f>RESUMO!$E$162:$P$162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RESUMO!$D$168:$P$168</c15:sqref>
                  </c15:fullRef>
                </c:ext>
              </c:extLst>
              <c:f>RESUMO!$E$168:$P$168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B8-4395-8255-D4C4803D7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491455"/>
        <c:axId val="959490015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RESUMO!$C$169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RESUMO!$D$162:$P$162</c15:sqref>
                        </c15:fullRef>
                        <c15:formulaRef>
                          <c15:sqref>RESUMO!$E$162:$P$162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RESUMO!$D$169:$P$169</c15:sqref>
                        </c15:fullRef>
                        <c15:formulaRef>
                          <c15:sqref>RESUMO!$E$169:$P$169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2B8-4395-8255-D4C4803D7785}"/>
                  </c:ext>
                </c:extLst>
              </c15:ser>
            </c15:filteredBarSeries>
          </c:ext>
        </c:extLst>
      </c:barChart>
      <c:catAx>
        <c:axId val="95949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9490015"/>
        <c:crosses val="autoZero"/>
        <c:auto val="1"/>
        <c:lblAlgn val="ctr"/>
        <c:lblOffset val="100"/>
        <c:noMultiLvlLbl val="0"/>
      </c:catAx>
      <c:valAx>
        <c:axId val="95949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949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IMPOSTOS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RESUMO!$C$172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RESUMO!$D$171:$P$171</c15:sqref>
                  </c15:fullRef>
                </c:ext>
              </c:extLst>
              <c:f>RESUMO!$E$171:$P$171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RESUMO!$D$172:$P$172</c15:sqref>
                  </c15:fullRef>
                </c:ext>
              </c:extLst>
              <c:f>RESUMO!$E$172:$P$172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2-4247-8712-F2E8BAFF1593}"/>
            </c:ext>
          </c:extLst>
        </c:ser>
        <c:ser>
          <c:idx val="1"/>
          <c:order val="1"/>
          <c:tx>
            <c:strRef>
              <c:f>RESUMO!$C$173</c:f>
              <c:strCache>
                <c:ptCount val="1"/>
                <c:pt idx="0">
                  <c:v>Estadual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RESUMO!$D$171:$P$171</c15:sqref>
                  </c15:fullRef>
                </c:ext>
              </c:extLst>
              <c:f>RESUMO!$E$171:$P$171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RESUMO!$D$173:$P$173</c15:sqref>
                  </c15:fullRef>
                </c:ext>
              </c:extLst>
              <c:f>RESUMO!$E$173:$P$173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2-4247-8712-F2E8BAFF1593}"/>
            </c:ext>
          </c:extLst>
        </c:ser>
        <c:ser>
          <c:idx val="2"/>
          <c:order val="2"/>
          <c:tx>
            <c:strRef>
              <c:f>RESUMO!$C$174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RESUMO!$D$171:$P$171</c15:sqref>
                  </c15:fullRef>
                </c:ext>
              </c:extLst>
              <c:f>RESUMO!$E$171:$P$171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RESUMO!$D$174:$P$174</c15:sqref>
                  </c15:fullRef>
                </c:ext>
              </c:extLst>
              <c:f>RESUMO!$E$174:$P$174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2-4247-8712-F2E8BAFF1593}"/>
            </c:ext>
          </c:extLst>
        </c:ser>
        <c:ser>
          <c:idx val="3"/>
          <c:order val="3"/>
          <c:tx>
            <c:strRef>
              <c:f>RESUMO!$C$175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RESUMO!$D$171:$P$171</c15:sqref>
                  </c15:fullRef>
                </c:ext>
              </c:extLst>
              <c:f>RESUMO!$E$171:$P$171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RESUMO!$D$175:$P$175</c15:sqref>
                  </c15:fullRef>
                </c:ext>
              </c:extLst>
              <c:f>RESUMO!$E$175:$P$175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2-4247-8712-F2E8BAFF1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109744"/>
        <c:axId val="75511022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RESUMO!$C$176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RESUMO!$D$171:$P$171</c15:sqref>
                        </c15:fullRef>
                        <c15:formulaRef>
                          <c15:sqref>RESUMO!$E$171:$P$171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RESUMO!$D$176:$P$176</c15:sqref>
                        </c15:fullRef>
                        <c15:formulaRef>
                          <c15:sqref>RESUMO!$E$176:$P$176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8A2-4247-8712-F2E8BAFF1593}"/>
                  </c:ext>
                </c:extLst>
              </c15:ser>
            </c15:filteredBarSeries>
          </c:ext>
        </c:extLst>
      </c:barChart>
      <c:catAx>
        <c:axId val="75510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10224"/>
        <c:crosses val="autoZero"/>
        <c:auto val="1"/>
        <c:lblAlgn val="ctr"/>
        <c:lblOffset val="100"/>
        <c:noMultiLvlLbl val="0"/>
      </c:catAx>
      <c:valAx>
        <c:axId val="75511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Ganhos</a:t>
            </a:r>
            <a:r>
              <a:rPr lang="pt-BR" baseline="0"/>
              <a:t> subtraído dos gastos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59-47FA-8625-397C34CB4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59-47FA-8625-397C34CB402A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RESUMO!$B$44:$C$47</c15:sqref>
                  </c15:fullRef>
                </c:ext>
              </c:extLst>
              <c:f>RESUMO!$B$44:$C$45</c:f>
              <c:multiLvlStrCache>
                <c:ptCount val="2"/>
                <c:lvl>
                  <c:pt idx="0">
                    <c:v>Resumo do Saldo</c:v>
                  </c:pt>
                  <c:pt idx="1">
                    <c:v>Resumo dos Custos</c:v>
                  </c:pt>
                </c:lvl>
                <c:lvl>
                  <c:pt idx="0">
                    <c:v>SALDO </c:v>
                  </c:pt>
                  <c:pt idx="1">
                    <c:v>CUSTO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RESUMO!$D$44:$D$47</c15:sqref>
                  </c15:fullRef>
                </c:ext>
              </c:extLst>
              <c:f>RESUMO!$D$44:$D$45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2759-47FA-8625-397C34CB402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759-47FA-8625-397C34CB4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759-47FA-8625-397C34CB402A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RESUMO!$B$44:$C$47</c15:sqref>
                  </c15:fullRef>
                </c:ext>
              </c:extLst>
              <c:f>RESUMO!$B$44:$C$45</c:f>
              <c:multiLvlStrCache>
                <c:ptCount val="2"/>
                <c:lvl>
                  <c:pt idx="0">
                    <c:v>Resumo do Saldo</c:v>
                  </c:pt>
                  <c:pt idx="1">
                    <c:v>Resumo dos Custos</c:v>
                  </c:pt>
                </c:lvl>
                <c:lvl>
                  <c:pt idx="0">
                    <c:v>SALDO </c:v>
                  </c:pt>
                  <c:pt idx="1">
                    <c:v>CUSTO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RESUMO!$E$44:$E$47</c15:sqref>
                  </c15:fullRef>
                </c:ext>
              </c:extLst>
              <c:f>RESUMO!$E$44:$E$45</c:f>
              <c:numCache>
                <c:formatCode>"R$"\ #,##0.00</c:formatCode>
                <c:ptCount val="2"/>
                <c:pt idx="0" formatCode="&quot;R$&quot;#,##0.00_);[Red]\(&quot;R$&quot;#,##0.00\)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2759-47FA-8625-397C34CB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Valores gastos</a:t>
            </a:r>
            <a:r>
              <a:rPr lang="pt-BR" baseline="0"/>
              <a:t> por categoria - resumo anual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RESUMO!$B$110</c:f>
              <c:strCache>
                <c:ptCount val="1"/>
                <c:pt idx="0">
                  <c:v>CUIDADOS PESSOAIS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D8-4DB9-BCC6-6ABC596DDE15}"/>
              </c:ext>
            </c:extLst>
          </c:dPt>
          <c:val>
            <c:numRef>
              <c:f>RESUMO!$D$124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8-4DB9-BCC6-6ABC596DDE15}"/>
            </c:ext>
          </c:extLst>
        </c:ser>
        <c:ser>
          <c:idx val="1"/>
          <c:order val="1"/>
          <c:tx>
            <c:strRef>
              <c:f>RESUMO!$B$97</c:f>
              <c:strCache>
                <c:ptCount val="1"/>
                <c:pt idx="0">
                  <c:v>ENTRETENIMENTO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D8-4DB9-BCC6-6ABC596DDE15}"/>
              </c:ext>
            </c:extLst>
          </c:dPt>
          <c:val>
            <c:numRef>
              <c:f>RESUMO!$D$107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D8-4DB9-BCC6-6ABC596DDE15}"/>
            </c:ext>
          </c:extLst>
        </c:ser>
        <c:ser>
          <c:idx val="2"/>
          <c:order val="2"/>
          <c:tx>
            <c:strRef>
              <c:f>RESUMO!$B$66</c:f>
              <c:strCache>
                <c:ptCount val="1"/>
                <c:pt idx="0">
                  <c:v>MORADIA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RESUMO!$D$76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D8-4DB9-BCC6-6ABC596DDE15}"/>
            </c:ext>
          </c:extLst>
        </c:ser>
        <c:ser>
          <c:idx val="3"/>
          <c:order val="3"/>
          <c:tx>
            <c:strRef>
              <c:f>RESUMO!$B$79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RESUMO!$D$86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D8-4DB9-BCC6-6ABC596DDE15}"/>
            </c:ext>
          </c:extLst>
        </c:ser>
        <c:ser>
          <c:idx val="4"/>
          <c:order val="4"/>
          <c:tx>
            <c:strRef>
              <c:f>RESUMO!$B$89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RESUMO!$D$94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D8-4DB9-BCC6-6ABC596DDE15}"/>
            </c:ext>
          </c:extLst>
        </c:ser>
        <c:ser>
          <c:idx val="6"/>
          <c:order val="5"/>
          <c:tx>
            <c:strRef>
              <c:f>RESUMO!$B$127</c:f>
              <c:strCache>
                <c:ptCount val="1"/>
                <c:pt idx="0">
                  <c:v>SEGURO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RESUMO!$D$131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D8-4DB9-BCC6-6ABC596DDE15}"/>
            </c:ext>
          </c:extLst>
        </c:ser>
        <c:ser>
          <c:idx val="5"/>
          <c:order val="6"/>
          <c:tx>
            <c:strRef>
              <c:f>RESUMO!$B$134</c:f>
              <c:strCache>
                <c:ptCount val="1"/>
                <c:pt idx="0">
                  <c:v>POUPANÇA/INVESTIMENTO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RESUMO!$D$139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D8-4DB9-BCC6-6ABC596DDE15}"/>
            </c:ext>
          </c:extLst>
        </c:ser>
        <c:ser>
          <c:idx val="7"/>
          <c:order val="7"/>
          <c:tx>
            <c:strRef>
              <c:f>RESUMO!$B$142</c:f>
              <c:strCache>
                <c:ptCount val="1"/>
                <c:pt idx="0">
                  <c:v>PRESENTE/DOAÇÕES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RESUMO!$D$145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D8-4DB9-BCC6-6ABC596DDE15}"/>
            </c:ext>
          </c:extLst>
        </c:ser>
        <c:ser>
          <c:idx val="8"/>
          <c:order val="8"/>
          <c:tx>
            <c:strRef>
              <c:f>RESUMO!$B$148</c:f>
              <c:strCache>
                <c:ptCount val="1"/>
                <c:pt idx="0">
                  <c:v>ACESSORIA JURIDICA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RESUMO!$D$152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D8-4DB9-BCC6-6ABC596DDE15}"/>
            </c:ext>
          </c:extLst>
        </c:ser>
        <c:ser>
          <c:idx val="9"/>
          <c:order val="9"/>
          <c:tx>
            <c:strRef>
              <c:f>RESUMO!$B$155</c:f>
              <c:strCache>
                <c:ptCount val="1"/>
                <c:pt idx="0">
                  <c:v>ANIMAIS DE ESTIMAÇÃO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RESUMO!$D$160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D8-4DB9-BCC6-6ABC596DDE15}"/>
            </c:ext>
          </c:extLst>
        </c:ser>
        <c:ser>
          <c:idx val="10"/>
          <c:order val="10"/>
          <c:tx>
            <c:strRef>
              <c:f>RESUMO!$B$163</c:f>
              <c:strCache>
                <c:ptCount val="1"/>
                <c:pt idx="0">
                  <c:v>EMPRÉSTIMO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RESUMO!$D$169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D8-4DB9-BCC6-6ABC596DDE15}"/>
            </c:ext>
          </c:extLst>
        </c:ser>
        <c:ser>
          <c:idx val="11"/>
          <c:order val="11"/>
          <c:tx>
            <c:strRef>
              <c:f>RESUMO!$B$172</c:f>
              <c:strCache>
                <c:ptCount val="1"/>
                <c:pt idx="0">
                  <c:v>IMPOSTOS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RESUMO!$D$176</c:f>
              <c:numCache>
                <c:formatCode>"R$"\ 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D8-4DB9-BCC6-6ABC596D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64188671"/>
        <c:axId val="964189151"/>
      </c:barChart>
      <c:catAx>
        <c:axId val="96418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4189151"/>
        <c:crosses val="autoZero"/>
        <c:auto val="1"/>
        <c:lblAlgn val="ctr"/>
        <c:lblOffset val="100"/>
        <c:noMultiLvlLbl val="0"/>
      </c:catAx>
      <c:valAx>
        <c:axId val="964189151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Valor gasto anualmente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418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Gastos</a:t>
            </a:r>
            <a:r>
              <a:rPr lang="pt-BR" baseline="0"/>
              <a:t> por mês com </a:t>
            </a:r>
            <a:r>
              <a:rPr lang="pt-BR" b="1" baseline="0"/>
              <a:t>MORADIA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RESUMO!$C$66</c:f>
              <c:strCache>
                <c:ptCount val="1"/>
                <c:pt idx="0">
                  <c:v>Aluguel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RESUMO!$D$66:$P$66</c15:sqref>
                  </c15:fullRef>
                </c:ext>
              </c:extLst>
              <c:f>RESUMO!$E$66:$P$66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45E-8D27-F408F5FA4119}"/>
            </c:ext>
          </c:extLst>
        </c:ser>
        <c:ser>
          <c:idx val="1"/>
          <c:order val="1"/>
          <c:tx>
            <c:strRef>
              <c:f>RESUMO!$C$67</c:f>
              <c:strCache>
                <c:ptCount val="1"/>
                <c:pt idx="0">
                  <c:v>Telefone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RESUMO!$D$67:$P$67</c15:sqref>
                  </c15:fullRef>
                </c:ext>
              </c:extLst>
              <c:f>RESUMO!$E$67:$P$67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45E-8D27-F408F5FA4119}"/>
            </c:ext>
          </c:extLst>
        </c:ser>
        <c:ser>
          <c:idx val="2"/>
          <c:order val="2"/>
          <c:tx>
            <c:strRef>
              <c:f>RESUMO!$C$68</c:f>
              <c:strCache>
                <c:ptCount val="1"/>
                <c:pt idx="0">
                  <c:v>Conta de luz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RESUMO!$D$68:$P$68</c15:sqref>
                  </c15:fullRef>
                </c:ext>
              </c:extLst>
              <c:f>RESUMO!$E$68:$P$68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45E-8D27-F408F5FA4119}"/>
            </c:ext>
          </c:extLst>
        </c:ser>
        <c:ser>
          <c:idx val="3"/>
          <c:order val="3"/>
          <c:tx>
            <c:strRef>
              <c:f>RESUMO!$C$69</c:f>
              <c:strCache>
                <c:ptCount val="1"/>
                <c:pt idx="0">
                  <c:v>Gás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RESUMO!$D$69:$P$69</c15:sqref>
                  </c15:fullRef>
                </c:ext>
              </c:extLst>
              <c:f>RESUMO!$E$69:$P$69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45E-8D27-F408F5FA4119}"/>
            </c:ext>
          </c:extLst>
        </c:ser>
        <c:ser>
          <c:idx val="4"/>
          <c:order val="4"/>
          <c:tx>
            <c:strRef>
              <c:f>RESUMO!$C$70</c:f>
              <c:strCache>
                <c:ptCount val="1"/>
                <c:pt idx="0">
                  <c:v>Água e esgoto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RESUMO!$D$70:$P$70</c15:sqref>
                  </c15:fullRef>
                </c:ext>
              </c:extLst>
              <c:f>RESUMO!$E$70:$P$70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45E-8D27-F408F5FA4119}"/>
            </c:ext>
          </c:extLst>
        </c:ser>
        <c:ser>
          <c:idx val="5"/>
          <c:order val="5"/>
          <c:tx>
            <c:strRef>
              <c:f>RESUMO!$C$71</c:f>
              <c:strCache>
                <c:ptCount val="1"/>
                <c:pt idx="0">
                  <c:v>TV a cabo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RESUMO!$D$71:$P$71</c15:sqref>
                  </c15:fullRef>
                </c:ext>
              </c:extLst>
              <c:f>RESUMO!$E$71:$P$71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45E-8D27-F408F5FA4119}"/>
            </c:ext>
          </c:extLst>
        </c:ser>
        <c:ser>
          <c:idx val="6"/>
          <c:order val="6"/>
          <c:tx>
            <c:strRef>
              <c:f>RESUMO!$C$72</c:f>
              <c:strCache>
                <c:ptCount val="1"/>
                <c:pt idx="0">
                  <c:v>Coleta de lixo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RESUMO!$D$72:$P$72</c15:sqref>
                  </c15:fullRef>
                </c:ext>
              </c:extLst>
              <c:f>RESUMO!$E$72:$P$72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82-445E-8D27-F408F5FA4119}"/>
            </c:ext>
          </c:extLst>
        </c:ser>
        <c:ser>
          <c:idx val="7"/>
          <c:order val="7"/>
          <c:tx>
            <c:strRef>
              <c:f>RESUMO!$C$73</c:f>
              <c:strCache>
                <c:ptCount val="1"/>
                <c:pt idx="0">
                  <c:v>Manutenção ou reparos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RESUMO!$D$73:$P$73</c15:sqref>
                  </c15:fullRef>
                </c:ext>
              </c:extLst>
              <c:f>RESUMO!$E$73:$P$73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82-445E-8D27-F408F5FA4119}"/>
            </c:ext>
          </c:extLst>
        </c:ser>
        <c:ser>
          <c:idx val="8"/>
          <c:order val="8"/>
          <c:tx>
            <c:strRef>
              <c:f>RESUMO!$C$74</c:f>
              <c:strCache>
                <c:ptCount val="1"/>
                <c:pt idx="0">
                  <c:v>Suprimentos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RESUMO!$D$74:$P$74</c15:sqref>
                  </c15:fullRef>
                </c:ext>
              </c:extLst>
              <c:f>RESUMO!$E$74:$P$74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2-445E-8D27-F408F5FA4119}"/>
            </c:ext>
          </c:extLst>
        </c:ser>
        <c:ser>
          <c:idx val="9"/>
          <c:order val="9"/>
          <c:tx>
            <c:strRef>
              <c:f>RESUMO!$C$75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RESUMO!$D$65:$P$65</c15:sqref>
                  </c15:fullRef>
                </c:ext>
              </c:extLst>
              <c:f>RESUMO!$E$65:$P$65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RESUMO!$D$75:$P$75</c15:sqref>
                  </c15:fullRef>
                </c:ext>
              </c:extLst>
              <c:f>RESUMO!$E$75:$P$75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82-445E-8D27-F408F5FA4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653616"/>
        <c:axId val="1305134223"/>
        <c:extLst>
          <c:ext xmlns:c15="http://schemas.microsoft.com/office/drawing/2012/chart" uri="{02D57815-91ED-43cb-92C2-25804820EDAC}">
            <c15:filteredBar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RESUMO!$C$76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RESUMO!$D$65:$P$65</c15:sqref>
                        </c15:fullRef>
                        <c15:formulaRef>
                          <c15:sqref>RESUMO!$E$65:$P$65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RESUMO!$D$76:$P$76</c15:sqref>
                        </c15:fullRef>
                        <c15:formulaRef>
                          <c15:sqref>RESUMO!$E$76:$P$76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D882-445E-8D27-F408F5FA4119}"/>
                  </c:ext>
                </c:extLst>
              </c15:ser>
            </c15:filteredBarSeries>
          </c:ext>
        </c:extLst>
      </c:barChart>
      <c:catAx>
        <c:axId val="6016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5134223"/>
        <c:crosses val="autoZero"/>
        <c:auto val="1"/>
        <c:lblAlgn val="ctr"/>
        <c:lblOffset val="100"/>
        <c:noMultiLvlLbl val="0"/>
      </c:catAx>
      <c:valAx>
        <c:axId val="130513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16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TRANSPORTE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RESUMO!$C$79</c:f>
              <c:strCache>
                <c:ptCount val="1"/>
                <c:pt idx="0">
                  <c:v>Pagamento do veículo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RESUMO!$E$79:$P$79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1-4BD6-91A8-B900D716ED69}"/>
            </c:ext>
          </c:extLst>
        </c:ser>
        <c:ser>
          <c:idx val="1"/>
          <c:order val="1"/>
          <c:tx>
            <c:strRef>
              <c:f>RESUMO!$C$80</c:f>
              <c:strCache>
                <c:ptCount val="1"/>
                <c:pt idx="0">
                  <c:v>Transporte público/táxi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RESUMO!$E$80:$P$80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1-4BD6-91A8-B900D716ED69}"/>
            </c:ext>
          </c:extLst>
        </c:ser>
        <c:ser>
          <c:idx val="2"/>
          <c:order val="2"/>
          <c:tx>
            <c:strRef>
              <c:f>RESUMO!$C$81</c:f>
              <c:strCache>
                <c:ptCount val="1"/>
                <c:pt idx="0">
                  <c:v>Seguro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RESUMO!$E$81:$P$81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F1-4BD6-91A8-B900D716ED69}"/>
            </c:ext>
          </c:extLst>
        </c:ser>
        <c:ser>
          <c:idx val="3"/>
          <c:order val="3"/>
          <c:tx>
            <c:strRef>
              <c:f>RESUMO!$C$82</c:f>
              <c:strCache>
                <c:ptCount val="1"/>
                <c:pt idx="0">
                  <c:v>Licenciamento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RESUMO!$E$82:$P$82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F1-4BD6-91A8-B900D716ED69}"/>
            </c:ext>
          </c:extLst>
        </c:ser>
        <c:ser>
          <c:idx val="4"/>
          <c:order val="4"/>
          <c:tx>
            <c:strRef>
              <c:f>RESUMO!$C$83</c:f>
              <c:strCache>
                <c:ptCount val="1"/>
                <c:pt idx="0">
                  <c:v>Combustível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RESUMO!$E$83:$P$83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1-4BD6-91A8-B900D716ED69}"/>
            </c:ext>
          </c:extLst>
        </c:ser>
        <c:ser>
          <c:idx val="5"/>
          <c:order val="5"/>
          <c:tx>
            <c:strRef>
              <c:f>RESUMO!$C$84</c:f>
              <c:strCache>
                <c:ptCount val="1"/>
                <c:pt idx="0">
                  <c:v>Manutenção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RESUMO!$E$84:$P$84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F1-4BD6-91A8-B900D716ED69}"/>
            </c:ext>
          </c:extLst>
        </c:ser>
        <c:ser>
          <c:idx val="6"/>
          <c:order val="6"/>
          <c:tx>
            <c:strRef>
              <c:f>RESUMO!$C$85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RESUMO!$E$78:$P$78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RESUMO!$E$85:$P$85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F1-4BD6-91A8-B900D716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140464"/>
        <c:axId val="755132304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RESUMO!$C$86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RESUMO!$E$78:$P$78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RESUMO!$E$86:$P$86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72F1-4BD6-91A8-B900D716ED69}"/>
                  </c:ext>
                </c:extLst>
              </c15:ser>
            </c15:filteredBarSeries>
          </c:ext>
        </c:extLst>
      </c:barChart>
      <c:catAx>
        <c:axId val="75514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32304"/>
        <c:crosses val="autoZero"/>
        <c:auto val="1"/>
        <c:lblAlgn val="ctr"/>
        <c:lblOffset val="100"/>
        <c:noMultiLvlLbl val="0"/>
      </c:catAx>
      <c:valAx>
        <c:axId val="75513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ALIMENTAÇÃO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RESUMO!$C$89</c:f>
              <c:strCache>
                <c:ptCount val="1"/>
                <c:pt idx="0">
                  <c:v>Supermercado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RESUMO!$E$88:$P$88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RESUMO!$E$89:$P$89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8-43AE-B69C-7A4FD1CC6D9B}"/>
            </c:ext>
          </c:extLst>
        </c:ser>
        <c:ser>
          <c:idx val="1"/>
          <c:order val="1"/>
          <c:tx>
            <c:strRef>
              <c:f>RESUMO!$C$90</c:f>
              <c:strCache>
                <c:ptCount val="1"/>
                <c:pt idx="0">
                  <c:v>Almoço fora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RESUMO!$E$88:$P$88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RESUMO!$E$90:$P$90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8-43AE-B69C-7A4FD1CC6D9B}"/>
            </c:ext>
          </c:extLst>
        </c:ser>
        <c:ser>
          <c:idx val="2"/>
          <c:order val="2"/>
          <c:tx>
            <c:strRef>
              <c:f>RESUMO!$C$91</c:f>
              <c:strCache>
                <c:ptCount val="1"/>
                <c:pt idx="0">
                  <c:v>Jantar fora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RESUMO!$E$88:$P$88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RESUMO!$E$91:$P$91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8-43AE-B69C-7A4FD1CC6D9B}"/>
            </c:ext>
          </c:extLst>
        </c:ser>
        <c:ser>
          <c:idx val="3"/>
          <c:order val="3"/>
          <c:tx>
            <c:strRef>
              <c:f>RESUMO!$C$92</c:f>
              <c:strCache>
                <c:ptCount val="1"/>
                <c:pt idx="0">
                  <c:v>Padaria/lanche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RESUMO!$E$88:$P$88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RESUMO!$E$92:$P$92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8-43AE-B69C-7A4FD1CC6D9B}"/>
            </c:ext>
          </c:extLst>
        </c:ser>
        <c:ser>
          <c:idx val="4"/>
          <c:order val="4"/>
          <c:tx>
            <c:strRef>
              <c:f>RESUMO!$C$93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RESUMO!$E$88:$P$88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RESUMO!$E$93:$P$93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8-43AE-B69C-7A4FD1CC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687903"/>
        <c:axId val="799688863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RESUMO!$C$94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RESUMO!$E$88:$P$88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RESUMO!$E$94:$P$94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65B8-43AE-B69C-7A4FD1CC6D9B}"/>
                  </c:ext>
                </c:extLst>
              </c15:ser>
            </c15:filteredBarSeries>
          </c:ext>
        </c:extLst>
      </c:barChart>
      <c:catAx>
        <c:axId val="79968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9688863"/>
        <c:crosses val="autoZero"/>
        <c:auto val="1"/>
        <c:lblAlgn val="ctr"/>
        <c:lblOffset val="100"/>
        <c:noMultiLvlLbl val="0"/>
      </c:catAx>
      <c:valAx>
        <c:axId val="799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968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ENTRETENIMENTO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RESUMO!$C$97</c:f>
              <c:strCache>
                <c:ptCount val="1"/>
                <c:pt idx="0">
                  <c:v>Balada/festa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RESUMO!$D$97:$P$97</c15:sqref>
                  </c15:fullRef>
                </c:ext>
              </c:extLst>
              <c:f>RESUMO!$E$97:$P$97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F-4FC5-918A-B4D210E4D8D5}"/>
            </c:ext>
          </c:extLst>
        </c:ser>
        <c:ser>
          <c:idx val="1"/>
          <c:order val="1"/>
          <c:tx>
            <c:strRef>
              <c:f>RESUMO!$C$98</c:f>
              <c:strCache>
                <c:ptCount val="1"/>
                <c:pt idx="0">
                  <c:v>Plataformas de música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RESUMO!$D$98:$P$98</c15:sqref>
                  </c15:fullRef>
                </c:ext>
              </c:extLst>
              <c:f>RESUMO!$E$98:$P$98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F-4FC5-918A-B4D210E4D8D5}"/>
            </c:ext>
          </c:extLst>
        </c:ser>
        <c:ser>
          <c:idx val="2"/>
          <c:order val="2"/>
          <c:tx>
            <c:strRef>
              <c:f>RESUMO!$C$99</c:f>
              <c:strCache>
                <c:ptCount val="1"/>
                <c:pt idx="0">
                  <c:v>Filmes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RESUMO!$D$99:$P$99</c15:sqref>
                  </c15:fullRef>
                </c:ext>
              </c:extLst>
              <c:f>RESUMO!$E$99:$P$99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EF-4FC5-918A-B4D210E4D8D5}"/>
            </c:ext>
          </c:extLst>
        </c:ser>
        <c:ser>
          <c:idx val="3"/>
          <c:order val="3"/>
          <c:tx>
            <c:strRef>
              <c:f>RESUMO!$C$100</c:f>
              <c:strCache>
                <c:ptCount val="1"/>
                <c:pt idx="0">
                  <c:v>Shows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RESUMO!$D$100:$P$100</c15:sqref>
                  </c15:fullRef>
                </c:ext>
              </c:extLst>
              <c:f>RESUMO!$E$100:$P$100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EF-4FC5-918A-B4D210E4D8D5}"/>
            </c:ext>
          </c:extLst>
        </c:ser>
        <c:ser>
          <c:idx val="4"/>
          <c:order val="4"/>
          <c:tx>
            <c:strRef>
              <c:f>RESUMO!$C$101</c:f>
              <c:strCache>
                <c:ptCount val="1"/>
                <c:pt idx="0">
                  <c:v>Eventos esportivos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RESUMO!$D$101:$P$101</c15:sqref>
                  </c15:fullRef>
                </c:ext>
              </c:extLst>
              <c:f>RESUMO!$E$101:$P$101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EF-4FC5-918A-B4D210E4D8D5}"/>
            </c:ext>
          </c:extLst>
        </c:ser>
        <c:ser>
          <c:idx val="5"/>
          <c:order val="5"/>
          <c:tx>
            <c:strRef>
              <c:f>RESUMO!$C$102</c:f>
              <c:strCache>
                <c:ptCount val="1"/>
                <c:pt idx="0">
                  <c:v>Teatro ao vivo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RESUMO!$D$102:$P$102</c15:sqref>
                  </c15:fullRef>
                </c:ext>
              </c:extLst>
              <c:f>RESUMO!$E$102:$P$102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EF-4FC5-918A-B4D210E4D8D5}"/>
            </c:ext>
          </c:extLst>
        </c:ser>
        <c:ser>
          <c:idx val="6"/>
          <c:order val="6"/>
          <c:tx>
            <c:strRef>
              <c:f>RESUMO!$C$103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RESUMO!$D$103:$P$103</c15:sqref>
                  </c15:fullRef>
                </c:ext>
              </c:extLst>
              <c:f>RESUMO!$E$103:$P$103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EF-4FC5-918A-B4D210E4D8D5}"/>
            </c:ext>
          </c:extLst>
        </c:ser>
        <c:ser>
          <c:idx val="7"/>
          <c:order val="7"/>
          <c:tx>
            <c:strRef>
              <c:f>RESUMO!$C$104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RESUMO!$D$104:$P$104</c15:sqref>
                  </c15:fullRef>
                </c:ext>
              </c:extLst>
              <c:f>RESUMO!$E$104:$P$104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EF-4FC5-918A-B4D210E4D8D5}"/>
            </c:ext>
          </c:extLst>
        </c:ser>
        <c:ser>
          <c:idx val="8"/>
          <c:order val="8"/>
          <c:tx>
            <c:strRef>
              <c:f>RESUMO!$C$105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RESUMO!$D$105:$P$105</c15:sqref>
                  </c15:fullRef>
                </c:ext>
              </c:extLst>
              <c:f>RESUMO!$E$105:$P$105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EF-4FC5-918A-B4D210E4D8D5}"/>
            </c:ext>
          </c:extLst>
        </c:ser>
        <c:ser>
          <c:idx val="9"/>
          <c:order val="9"/>
          <c:tx>
            <c:strRef>
              <c:f>RESUMO!$C$106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RESUMO!$D$96:$P$96</c15:sqref>
                  </c15:fullRef>
                </c:ext>
              </c:extLst>
              <c:f>RESUMO!$E$96:$P$96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RESUMO!$D$106:$P$106</c15:sqref>
                  </c15:fullRef>
                </c:ext>
              </c:extLst>
              <c:f>RESUMO!$E$106:$P$106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EF-4FC5-918A-B4D210E4D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103984"/>
        <c:axId val="755113584"/>
        <c:extLst>
          <c:ext xmlns:c15="http://schemas.microsoft.com/office/drawing/2012/chart" uri="{02D57815-91ED-43cb-92C2-25804820EDAC}">
            <c15:filteredBar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RESUMO!$C$107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RESUMO!$D$96:$P$96</c15:sqref>
                        </c15:fullRef>
                        <c15:formulaRef>
                          <c15:sqref>RESUMO!$E$96:$P$96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RESUMO!$D$107:$P$107</c15:sqref>
                        </c15:fullRef>
                        <c15:formulaRef>
                          <c15:sqref>RESUMO!$E$107:$P$107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E3EF-4FC5-918A-B4D210E4D8D5}"/>
                  </c:ext>
                </c:extLst>
              </c15:ser>
            </c15:filteredBarSeries>
          </c:ext>
        </c:extLst>
      </c:barChart>
      <c:catAx>
        <c:axId val="7551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13584"/>
        <c:crosses val="autoZero"/>
        <c:auto val="1"/>
        <c:lblAlgn val="ctr"/>
        <c:lblOffset val="100"/>
        <c:noMultiLvlLbl val="0"/>
      </c:catAx>
      <c:valAx>
        <c:axId val="75511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CUIDADOS PESSOAIS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RESUMO!$C$110</c:f>
              <c:strCache>
                <c:ptCount val="1"/>
                <c:pt idx="0">
                  <c:v>Médico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RESUMO!$D$110:$P$110</c15:sqref>
                  </c15:fullRef>
                </c:ext>
              </c:extLst>
              <c:f>RESUMO!$E$110:$P$110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E-4763-A3DC-D4C6BAD7E063}"/>
            </c:ext>
          </c:extLst>
        </c:ser>
        <c:ser>
          <c:idx val="1"/>
          <c:order val="1"/>
          <c:tx>
            <c:strRef>
              <c:f>RESUMO!$C$111</c:f>
              <c:strCache>
                <c:ptCount val="1"/>
                <c:pt idx="0">
                  <c:v>Cabelo/unhas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RESUMO!$D$111:$P$111</c15:sqref>
                  </c15:fullRef>
                </c:ext>
              </c:extLst>
              <c:f>RESUMO!$E$111:$P$111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E-4763-A3DC-D4C6BAD7E063}"/>
            </c:ext>
          </c:extLst>
        </c:ser>
        <c:ser>
          <c:idx val="2"/>
          <c:order val="2"/>
          <c:tx>
            <c:strRef>
              <c:f>RESUMO!$C$112</c:f>
              <c:strCache>
                <c:ptCount val="1"/>
                <c:pt idx="0">
                  <c:v>Vestuário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RESUMO!$D$112:$P$112</c15:sqref>
                  </c15:fullRef>
                </c:ext>
              </c:extLst>
              <c:f>RESUMO!$E$112:$P$112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E-4763-A3DC-D4C6BAD7E063}"/>
            </c:ext>
          </c:extLst>
        </c:ser>
        <c:ser>
          <c:idx val="3"/>
          <c:order val="3"/>
          <c:tx>
            <c:strRef>
              <c:f>RESUMO!$C$113</c:f>
              <c:strCache>
                <c:ptCount val="1"/>
                <c:pt idx="0">
                  <c:v>Cosméticos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RESUMO!$D$113:$P$113</c15:sqref>
                  </c15:fullRef>
                </c:ext>
              </c:extLst>
              <c:f>RESUMO!$E$113:$P$113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E-4763-A3DC-D4C6BAD7E063}"/>
            </c:ext>
          </c:extLst>
        </c:ser>
        <c:ser>
          <c:idx val="4"/>
          <c:order val="4"/>
          <c:tx>
            <c:strRef>
              <c:f>RESUMO!$C$114</c:f>
              <c:strCache>
                <c:ptCount val="1"/>
                <c:pt idx="0">
                  <c:v>Academia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RESUMO!$D$114:$P$114</c15:sqref>
                  </c15:fullRef>
                </c:ext>
              </c:extLst>
              <c:f>RESUMO!$E$114:$P$114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1E-4763-A3DC-D4C6BAD7E063}"/>
            </c:ext>
          </c:extLst>
        </c:ser>
        <c:ser>
          <c:idx val="5"/>
          <c:order val="5"/>
          <c:tx>
            <c:strRef>
              <c:f>RESUMO!$C$115</c:f>
              <c:strCache>
                <c:ptCount val="1"/>
                <c:pt idx="0">
                  <c:v>Compras extra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RESUMO!$D$115:$P$115</c15:sqref>
                  </c15:fullRef>
                </c:ext>
              </c:extLst>
              <c:f>RESUMO!$E$115:$P$115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1E-4763-A3DC-D4C6BAD7E063}"/>
            </c:ext>
          </c:extLst>
        </c:ser>
        <c:ser>
          <c:idx val="6"/>
          <c:order val="6"/>
          <c:tx>
            <c:strRef>
              <c:f>RESUMO!$C$116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RESUMO!$D$116:$P$116</c15:sqref>
                  </c15:fullRef>
                </c:ext>
              </c:extLst>
              <c:f>RESUMO!$E$116:$P$116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1E-4763-A3DC-D4C6BAD7E063}"/>
            </c:ext>
          </c:extLst>
        </c:ser>
        <c:ser>
          <c:idx val="7"/>
          <c:order val="7"/>
          <c:tx>
            <c:strRef>
              <c:f>RESUMO!$C$117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RESUMO!$D$117:$P$117</c15:sqref>
                  </c15:fullRef>
                </c:ext>
              </c:extLst>
              <c:f>RESUMO!$E$117:$P$117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1E-4763-A3DC-D4C6BAD7E063}"/>
            </c:ext>
          </c:extLst>
        </c:ser>
        <c:ser>
          <c:idx val="8"/>
          <c:order val="8"/>
          <c:tx>
            <c:strRef>
              <c:f>RESUMO!$C$118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RESUMO!$D$118:$P$118</c15:sqref>
                  </c15:fullRef>
                </c:ext>
              </c:extLst>
              <c:f>RESUMO!$E$118:$P$118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1E-4763-A3DC-D4C6BAD7E063}"/>
            </c:ext>
          </c:extLst>
        </c:ser>
        <c:ser>
          <c:idx val="9"/>
          <c:order val="9"/>
          <c:tx>
            <c:strRef>
              <c:f>RESUMO!$C$119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RESUMO!$D$119:$P$119</c15:sqref>
                  </c15:fullRef>
                </c:ext>
              </c:extLst>
              <c:f>RESUMO!$E$119:$P$119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1E-4763-A3DC-D4C6BAD7E063}"/>
            </c:ext>
          </c:extLst>
        </c:ser>
        <c:ser>
          <c:idx val="10"/>
          <c:order val="10"/>
          <c:tx>
            <c:strRef>
              <c:f>RESUMO!$C$120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RESUMO!$D$120:$P$120</c15:sqref>
                  </c15:fullRef>
                </c:ext>
              </c:extLst>
              <c:f>RESUMO!$E$120:$P$120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1E-4763-A3DC-D4C6BAD7E063}"/>
            </c:ext>
          </c:extLst>
        </c:ser>
        <c:ser>
          <c:idx val="11"/>
          <c:order val="11"/>
          <c:tx>
            <c:strRef>
              <c:f>RESUMO!$C$121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RESUMO!$D$121:$P$121</c15:sqref>
                  </c15:fullRef>
                </c:ext>
              </c:extLst>
              <c:f>RESUMO!$E$121:$P$121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1E-4763-A3DC-D4C6BAD7E063}"/>
            </c:ext>
          </c:extLst>
        </c:ser>
        <c:ser>
          <c:idx val="12"/>
          <c:order val="12"/>
          <c:tx>
            <c:strRef>
              <c:f>RESUMO!$C$122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RESUMO!$D$122:$P$122</c15:sqref>
                  </c15:fullRef>
                </c:ext>
              </c:extLst>
              <c:f>RESUMO!$E$122:$P$122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1E-4763-A3DC-D4C6BAD7E063}"/>
            </c:ext>
          </c:extLst>
        </c:ser>
        <c:ser>
          <c:idx val="13"/>
          <c:order val="13"/>
          <c:tx>
            <c:strRef>
              <c:f>RESUMO!$C$123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RESUMO!$D$109:$P$109</c15:sqref>
                  </c15:fullRef>
                </c:ext>
              </c:extLst>
              <c:f>RESUMO!$E$109:$P$109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RESUMO!$D$123:$P$123</c15:sqref>
                  </c15:fullRef>
                </c:ext>
              </c:extLst>
              <c:f>RESUMO!$E$123:$P$123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1E-4763-A3DC-D4C6BAD7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132784"/>
        <c:axId val="755122224"/>
        <c:extLst>
          <c:ext xmlns:c15="http://schemas.microsoft.com/office/drawing/2012/chart" uri="{02D57815-91ED-43cb-92C2-25804820EDAC}">
            <c15:filteredBa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RESUMO!$C$124</c15:sqref>
                        </c15:formulaRef>
                      </c:ext>
                    </c:extLst>
                    <c:strCache>
                      <c:ptCount val="1"/>
                      <c:pt idx="0">
                        <c:v>Subtotal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RESUMO!$D$109:$P$109</c15:sqref>
                        </c15:fullRef>
                        <c15:formulaRef>
                          <c15:sqref>RESUMO!$E$109:$P$109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RESUMO!$D$124:$P$124</c15:sqref>
                        </c15:fullRef>
                        <c15:formulaRef>
                          <c15:sqref>RESUMO!$E$124:$P$124</c15:sqref>
                        </c15:formulaRef>
                      </c:ext>
                    </c:extLst>
                    <c:numCache>
                      <c:formatCode>"R$"\ 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21E-4763-A3DC-D4C6BAD7E063}"/>
                  </c:ext>
                </c:extLst>
              </c15:ser>
            </c15:filteredBarSeries>
          </c:ext>
        </c:extLst>
      </c:barChart>
      <c:catAx>
        <c:axId val="75513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22224"/>
        <c:crosses val="autoZero"/>
        <c:auto val="1"/>
        <c:lblAlgn val="ctr"/>
        <c:lblOffset val="100"/>
        <c:noMultiLvlLbl val="0"/>
      </c:catAx>
      <c:valAx>
        <c:axId val="75512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13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Gastos por mês com </a:t>
            </a:r>
            <a:r>
              <a:rPr lang="pt-BR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SEGURO</a:t>
            </a:r>
            <a:endParaRPr lang="pt-BR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RESUMO!$C$127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RESUMO!$D$126:$P$126</c:f>
              <c:strCache>
                <c:ptCount val="13"/>
                <c:pt idx="0">
                  <c:v>RESUMO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 </c:v>
                </c:pt>
              </c:strCache>
            </c:strRef>
          </c:cat>
          <c:val>
            <c:numRef>
              <c:f>RESUMO!$D$127:$P$127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2-48FD-A2AD-C73920CBAEA1}"/>
            </c:ext>
          </c:extLst>
        </c:ser>
        <c:ser>
          <c:idx val="1"/>
          <c:order val="1"/>
          <c:tx>
            <c:strRef>
              <c:f>RESUMO!$C$128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RESUMO!$D$126:$P$126</c:f>
              <c:strCache>
                <c:ptCount val="13"/>
                <c:pt idx="0">
                  <c:v>RESUMO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 </c:v>
                </c:pt>
              </c:strCache>
            </c:strRef>
          </c:cat>
          <c:val>
            <c:numRef>
              <c:f>RESUMO!$D$128:$P$128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2-48FD-A2AD-C73920CBAEA1}"/>
            </c:ext>
          </c:extLst>
        </c:ser>
        <c:ser>
          <c:idx val="2"/>
          <c:order val="2"/>
          <c:tx>
            <c:strRef>
              <c:f>RESUMO!$C$129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RESUMO!$D$126:$P$126</c:f>
              <c:strCache>
                <c:ptCount val="13"/>
                <c:pt idx="0">
                  <c:v>RESUMO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 </c:v>
                </c:pt>
              </c:strCache>
            </c:strRef>
          </c:cat>
          <c:val>
            <c:numRef>
              <c:f>RESUMO!$D$129:$P$129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2-48FD-A2AD-C73920CBAEA1}"/>
            </c:ext>
          </c:extLst>
        </c:ser>
        <c:ser>
          <c:idx val="3"/>
          <c:order val="3"/>
          <c:tx>
            <c:strRef>
              <c:f>RESUMO!$C$130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RESUMO!$D$126:$P$126</c:f>
              <c:strCache>
                <c:ptCount val="13"/>
                <c:pt idx="0">
                  <c:v>RESUMO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 </c:v>
                </c:pt>
              </c:strCache>
            </c:strRef>
          </c:cat>
          <c:val>
            <c:numRef>
              <c:f>RESUMO!$D$130:$P$130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52-48FD-A2AD-C73920CBAEA1}"/>
            </c:ext>
          </c:extLst>
        </c:ser>
        <c:ser>
          <c:idx val="4"/>
          <c:order val="4"/>
          <c:tx>
            <c:strRef>
              <c:f>RESUMO!$C$131</c:f>
              <c:strCache>
                <c:ptCount val="1"/>
                <c:pt idx="0">
                  <c:v>Subtotal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RESUMO!$D$126:$P$126</c:f>
              <c:strCache>
                <c:ptCount val="13"/>
                <c:pt idx="0">
                  <c:v>RESUMO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 </c:v>
                </c:pt>
              </c:strCache>
            </c:strRef>
          </c:cat>
          <c:val>
            <c:numRef>
              <c:f>RESUMO!$D$131:$P$131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52-48FD-A2AD-C73920CB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499615"/>
        <c:axId val="959479935"/>
      </c:barChart>
      <c:catAx>
        <c:axId val="95949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9479935"/>
        <c:crosses val="autoZero"/>
        <c:auto val="1"/>
        <c:lblAlgn val="ctr"/>
        <c:lblOffset val="100"/>
        <c:noMultiLvlLbl val="0"/>
      </c:catAx>
      <c:valAx>
        <c:axId val="95947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9499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image" Target="../media/image2.png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image" Target="../media/image5.png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image" Target="../media/image3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101600</xdr:rowOff>
    </xdr:from>
    <xdr:to>
      <xdr:col>1</xdr:col>
      <xdr:colOff>3579299</xdr:colOff>
      <xdr:row>4</xdr:row>
      <xdr:rowOff>279400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1CA2274-2E52-43C1-8126-3F4BFB341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01600"/>
          <a:ext cx="2245799" cy="1016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266722</xdr:colOff>
      <xdr:row>2</xdr:row>
      <xdr:rowOff>68418</xdr:rowOff>
    </xdr:from>
    <xdr:to>
      <xdr:col>5</xdr:col>
      <xdr:colOff>528098</xdr:colOff>
      <xdr:row>3</xdr:row>
      <xdr:rowOff>110110</xdr:rowOff>
    </xdr:to>
    <xdr:pic>
      <xdr:nvPicPr>
        <xdr:cNvPr id="3" name="Gráfico 2" descr="Cursor estrutura de tópicos">
          <a:extLst>
            <a:ext uri="{FF2B5EF4-FFF2-40B4-BE49-F238E27FC236}">
              <a16:creationId xmlns:a16="http://schemas.microsoft.com/office/drawing/2014/main" id="{CB56CEDF-22E8-4B31-B7C0-6B729D1C6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46305" y="721057"/>
          <a:ext cx="261376" cy="259238"/>
        </a:xfrm>
        <a:prstGeom prst="rect">
          <a:avLst/>
        </a:prstGeom>
      </xdr:spPr>
    </xdr:pic>
    <xdr:clientData/>
  </xdr:twoCellAnchor>
  <xdr:twoCellAnchor editAs="oneCell">
    <xdr:from>
      <xdr:col>1</xdr:col>
      <xdr:colOff>58799</xdr:colOff>
      <xdr:row>0</xdr:row>
      <xdr:rowOff>47037</xdr:rowOff>
    </xdr:from>
    <xdr:to>
      <xdr:col>2</xdr:col>
      <xdr:colOff>434875</xdr:colOff>
      <xdr:row>3</xdr:row>
      <xdr:rowOff>192852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ED22F7C-87F6-43B7-82B6-22CF4521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08" y="47037"/>
          <a:ext cx="2245799" cy="1016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250152</xdr:colOff>
      <xdr:row>2</xdr:row>
      <xdr:rowOff>96214</xdr:rowOff>
    </xdr:from>
    <xdr:to>
      <xdr:col>5</xdr:col>
      <xdr:colOff>513131</xdr:colOff>
      <xdr:row>3</xdr:row>
      <xdr:rowOff>141112</xdr:rowOff>
    </xdr:to>
    <xdr:pic>
      <xdr:nvPicPr>
        <xdr:cNvPr id="3" name="Gráfico 2" descr="Cursor estrutura de tópicos">
          <a:extLst>
            <a:ext uri="{FF2B5EF4-FFF2-40B4-BE49-F238E27FC236}">
              <a16:creationId xmlns:a16="http://schemas.microsoft.com/office/drawing/2014/main" id="{1EEF3A2E-333A-4CFF-9EC1-689BCC8F2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34546" y="750456"/>
          <a:ext cx="262979" cy="262979"/>
        </a:xfrm>
        <a:prstGeom prst="rect">
          <a:avLst/>
        </a:prstGeom>
      </xdr:spPr>
    </xdr:pic>
    <xdr:clientData/>
  </xdr:twoCellAnchor>
  <xdr:twoCellAnchor editAs="oneCell">
    <xdr:from>
      <xdr:col>1</xdr:col>
      <xdr:colOff>51312</xdr:colOff>
      <xdr:row>0</xdr:row>
      <xdr:rowOff>38484</xdr:rowOff>
    </xdr:from>
    <xdr:to>
      <xdr:col>2</xdr:col>
      <xdr:colOff>430596</xdr:colOff>
      <xdr:row>3</xdr:row>
      <xdr:rowOff>182161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A4CC0CC-098B-4E97-898B-2A9BD04E4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494" y="38484"/>
          <a:ext cx="2245799" cy="1016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238809</xdr:colOff>
      <xdr:row>2</xdr:row>
      <xdr:rowOff>78321</xdr:rowOff>
    </xdr:from>
    <xdr:to>
      <xdr:col>5</xdr:col>
      <xdr:colOff>498885</xdr:colOff>
      <xdr:row>3</xdr:row>
      <xdr:rowOff>128554</xdr:rowOff>
    </xdr:to>
    <xdr:pic>
      <xdr:nvPicPr>
        <xdr:cNvPr id="4" name="Gráfico 3" descr="Cursor estrutura de tópicos">
          <a:extLst>
            <a:ext uri="{FF2B5EF4-FFF2-40B4-BE49-F238E27FC236}">
              <a16:creationId xmlns:a16="http://schemas.microsoft.com/office/drawing/2014/main" id="{ED656640-815D-4E8F-B222-944B0E77D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21177" y="733374"/>
          <a:ext cx="260076" cy="264127"/>
        </a:xfrm>
        <a:prstGeom prst="rect">
          <a:avLst/>
        </a:prstGeom>
      </xdr:spPr>
    </xdr:pic>
    <xdr:clientData/>
  </xdr:twoCellAnchor>
  <xdr:twoCellAnchor editAs="oneCell">
    <xdr:from>
      <xdr:col>1</xdr:col>
      <xdr:colOff>53473</xdr:colOff>
      <xdr:row>0</xdr:row>
      <xdr:rowOff>40106</xdr:rowOff>
    </xdr:from>
    <xdr:to>
      <xdr:col>2</xdr:col>
      <xdr:colOff>434378</xdr:colOff>
      <xdr:row>3</xdr:row>
      <xdr:rowOff>187159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1343A74-C579-46A0-8FC3-5A9D48563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62" y="40106"/>
          <a:ext cx="2245799" cy="1016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250152</xdr:colOff>
      <xdr:row>2</xdr:row>
      <xdr:rowOff>76971</xdr:rowOff>
    </xdr:from>
    <xdr:to>
      <xdr:col>5</xdr:col>
      <xdr:colOff>513131</xdr:colOff>
      <xdr:row>3</xdr:row>
      <xdr:rowOff>121869</xdr:rowOff>
    </xdr:to>
    <xdr:pic>
      <xdr:nvPicPr>
        <xdr:cNvPr id="3" name="Gráfico 2" descr="Cursor estrutura de tópicos">
          <a:extLst>
            <a:ext uri="{FF2B5EF4-FFF2-40B4-BE49-F238E27FC236}">
              <a16:creationId xmlns:a16="http://schemas.microsoft.com/office/drawing/2014/main" id="{EC0B8AE7-50AF-4212-A953-35E6FC8B8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34546" y="731213"/>
          <a:ext cx="262979" cy="262979"/>
        </a:xfrm>
        <a:prstGeom prst="rect">
          <a:avLst/>
        </a:prstGeom>
      </xdr:spPr>
    </xdr:pic>
    <xdr:clientData/>
  </xdr:twoCellAnchor>
  <xdr:twoCellAnchor editAs="oneCell">
    <xdr:from>
      <xdr:col>1</xdr:col>
      <xdr:colOff>51313</xdr:colOff>
      <xdr:row>0</xdr:row>
      <xdr:rowOff>38484</xdr:rowOff>
    </xdr:from>
    <xdr:to>
      <xdr:col>2</xdr:col>
      <xdr:colOff>430597</xdr:colOff>
      <xdr:row>3</xdr:row>
      <xdr:rowOff>182161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3ACAEF0-9CCD-4E55-AA3B-D95CF5F6A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495" y="38484"/>
          <a:ext cx="2245799" cy="1016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256567</xdr:colOff>
      <xdr:row>2</xdr:row>
      <xdr:rowOff>96213</xdr:rowOff>
    </xdr:from>
    <xdr:to>
      <xdr:col>5</xdr:col>
      <xdr:colOff>519546</xdr:colOff>
      <xdr:row>3</xdr:row>
      <xdr:rowOff>141111</xdr:rowOff>
    </xdr:to>
    <xdr:pic>
      <xdr:nvPicPr>
        <xdr:cNvPr id="4" name="Gráfico 3" descr="Cursor estrutura de tópicos">
          <a:extLst>
            <a:ext uri="{FF2B5EF4-FFF2-40B4-BE49-F238E27FC236}">
              <a16:creationId xmlns:a16="http://schemas.microsoft.com/office/drawing/2014/main" id="{AE37CBE5-BE20-3B2B-41EB-30DABB1F7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40961" y="750455"/>
          <a:ext cx="262979" cy="262979"/>
        </a:xfrm>
        <a:prstGeom prst="rect">
          <a:avLst/>
        </a:prstGeom>
      </xdr:spPr>
    </xdr:pic>
    <xdr:clientData/>
  </xdr:twoCellAnchor>
  <xdr:twoCellAnchor editAs="oneCell">
    <xdr:from>
      <xdr:col>1</xdr:col>
      <xdr:colOff>51312</xdr:colOff>
      <xdr:row>0</xdr:row>
      <xdr:rowOff>44898</xdr:rowOff>
    </xdr:from>
    <xdr:to>
      <xdr:col>2</xdr:col>
      <xdr:colOff>430596</xdr:colOff>
      <xdr:row>3</xdr:row>
      <xdr:rowOff>188575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3EEE858-BEE2-4C7B-92CE-D799B63E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494" y="44898"/>
          <a:ext cx="2245799" cy="1016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261606</xdr:colOff>
      <xdr:row>2</xdr:row>
      <xdr:rowOff>89111</xdr:rowOff>
    </xdr:from>
    <xdr:to>
      <xdr:col>5</xdr:col>
      <xdr:colOff>523668</xdr:colOff>
      <xdr:row>3</xdr:row>
      <xdr:rowOff>138590</xdr:rowOff>
    </xdr:to>
    <xdr:pic>
      <xdr:nvPicPr>
        <xdr:cNvPr id="3" name="Gráfico 2" descr="Cursor estrutura de tópicos">
          <a:extLst>
            <a:ext uri="{FF2B5EF4-FFF2-40B4-BE49-F238E27FC236}">
              <a16:creationId xmlns:a16="http://schemas.microsoft.com/office/drawing/2014/main" id="{5A784583-FC2A-499D-9DD5-40ACF5FD2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62616" y="743353"/>
          <a:ext cx="262062" cy="267560"/>
        </a:xfrm>
        <a:prstGeom prst="rect">
          <a:avLst/>
        </a:prstGeom>
      </xdr:spPr>
    </xdr:pic>
    <xdr:clientData/>
  </xdr:twoCellAnchor>
  <xdr:twoCellAnchor editAs="oneCell">
    <xdr:from>
      <xdr:col>1</xdr:col>
      <xdr:colOff>44898</xdr:colOff>
      <xdr:row>0</xdr:row>
      <xdr:rowOff>38484</xdr:rowOff>
    </xdr:from>
    <xdr:to>
      <xdr:col>2</xdr:col>
      <xdr:colOff>424182</xdr:colOff>
      <xdr:row>3</xdr:row>
      <xdr:rowOff>182161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34C2694-A372-4AF5-AD48-E6F8089F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96" y="38484"/>
          <a:ext cx="2245799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4</xdr:row>
      <xdr:rowOff>119063</xdr:rowOff>
    </xdr:from>
    <xdr:to>
      <xdr:col>9</xdr:col>
      <xdr:colOff>793750</xdr:colOff>
      <xdr:row>38</xdr:row>
      <xdr:rowOff>89296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B48E3D3-888F-4AAB-B481-A6BC892CD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1081483</xdr:colOff>
      <xdr:row>4</xdr:row>
      <xdr:rowOff>162320</xdr:rowOff>
    </xdr:from>
    <xdr:to>
      <xdr:col>13</xdr:col>
      <xdr:colOff>198436</xdr:colOff>
      <xdr:row>18</xdr:row>
      <xdr:rowOff>238123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9B686DD-B2A9-42AD-A2EC-FCCEAA4DE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1041798</xdr:colOff>
      <xdr:row>18</xdr:row>
      <xdr:rowOff>317501</xdr:rowOff>
    </xdr:from>
    <xdr:to>
      <xdr:col>15</xdr:col>
      <xdr:colOff>1307353</xdr:colOff>
      <xdr:row>38</xdr:row>
      <xdr:rowOff>74705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C4E868F4-F4E5-4F40-940B-46AD09F25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1016596</xdr:colOff>
      <xdr:row>2</xdr:row>
      <xdr:rowOff>69906</xdr:rowOff>
    </xdr:from>
    <xdr:to>
      <xdr:col>8</xdr:col>
      <xdr:colOff>1278677</xdr:colOff>
      <xdr:row>3</xdr:row>
      <xdr:rowOff>218592</xdr:rowOff>
    </xdr:to>
    <xdr:pic>
      <xdr:nvPicPr>
        <xdr:cNvPr id="2" name="Gráfico 1" descr="Cursor estrutura de tópicos">
          <a:extLst>
            <a:ext uri="{FF2B5EF4-FFF2-40B4-BE49-F238E27FC236}">
              <a16:creationId xmlns:a16="http://schemas.microsoft.com/office/drawing/2014/main" id="{095026A9-97EB-4B04-AAC1-9C153885A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1438067" y="717357"/>
          <a:ext cx="262081" cy="360353"/>
        </a:xfrm>
        <a:prstGeom prst="rect">
          <a:avLst/>
        </a:prstGeom>
      </xdr:spPr>
    </xdr:pic>
    <xdr:clientData/>
  </xdr:twoCellAnchor>
  <xdr:twoCellAnchor editAs="oneCell">
    <xdr:from>
      <xdr:col>1</xdr:col>
      <xdr:colOff>87157</xdr:colOff>
      <xdr:row>0</xdr:row>
      <xdr:rowOff>49804</xdr:rowOff>
    </xdr:from>
    <xdr:to>
      <xdr:col>2</xdr:col>
      <xdr:colOff>465694</xdr:colOff>
      <xdr:row>3</xdr:row>
      <xdr:rowOff>204313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CC0FE5A-B3C0-4934-AAA0-3A1DA636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71" y="49804"/>
          <a:ext cx="2246184" cy="10136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168671</xdr:colOff>
      <xdr:row>5</xdr:row>
      <xdr:rowOff>0</xdr:rowOff>
    </xdr:from>
    <xdr:to>
      <xdr:col>4</xdr:col>
      <xdr:colOff>1121171</xdr:colOff>
      <xdr:row>19</xdr:row>
      <xdr:rowOff>198438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F679093F-1800-40FD-9875-AFEFC8804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9</xdr:col>
      <xdr:colOff>605234</xdr:colOff>
      <xdr:row>19</xdr:row>
      <xdr:rowOff>198438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FD396562-A806-4013-874A-A0DCF556C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798114</xdr:colOff>
      <xdr:row>5</xdr:row>
      <xdr:rowOff>3571</xdr:rowOff>
    </xdr:from>
    <xdr:to>
      <xdr:col>13</xdr:col>
      <xdr:colOff>1264443</xdr:colOff>
      <xdr:row>19</xdr:row>
      <xdr:rowOff>208360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4F8841C9-674C-441A-A969-15B081045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321071</xdr:rowOff>
    </xdr:from>
    <xdr:to>
      <xdr:col>4</xdr:col>
      <xdr:colOff>1141016</xdr:colOff>
      <xdr:row>44</xdr:row>
      <xdr:rowOff>59531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BAF1D210-1205-4552-84E8-6C6C9F5FE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1309687</xdr:colOff>
      <xdr:row>19</xdr:row>
      <xdr:rowOff>327421</xdr:rowOff>
    </xdr:from>
    <xdr:to>
      <xdr:col>9</xdr:col>
      <xdr:colOff>555624</xdr:colOff>
      <xdr:row>44</xdr:row>
      <xdr:rowOff>59530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38CE28E-0EA7-46DF-9646-2744E1A23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833437</xdr:colOff>
      <xdr:row>20</xdr:row>
      <xdr:rowOff>29767</xdr:rowOff>
    </xdr:from>
    <xdr:to>
      <xdr:col>14</xdr:col>
      <xdr:colOff>9922</xdr:colOff>
      <xdr:row>44</xdr:row>
      <xdr:rowOff>39687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459B0C9E-6D05-4EFB-A40B-9F20BBD60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168671</xdr:colOff>
      <xdr:row>45</xdr:row>
      <xdr:rowOff>158750</xdr:rowOff>
    </xdr:from>
    <xdr:to>
      <xdr:col>4</xdr:col>
      <xdr:colOff>1131093</xdr:colOff>
      <xdr:row>68</xdr:row>
      <xdr:rowOff>158750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5DA5F582-5C9D-4556-9FB8-A5374047F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1309687</xdr:colOff>
      <xdr:row>46</xdr:row>
      <xdr:rowOff>0</xdr:rowOff>
    </xdr:from>
    <xdr:to>
      <xdr:col>9</xdr:col>
      <xdr:colOff>555624</xdr:colOff>
      <xdr:row>68</xdr:row>
      <xdr:rowOff>138906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4037E350-D2D2-4AE8-8376-9C704E51E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843359</xdr:colOff>
      <xdr:row>46</xdr:row>
      <xdr:rowOff>0</xdr:rowOff>
    </xdr:from>
    <xdr:to>
      <xdr:col>14</xdr:col>
      <xdr:colOff>29766</xdr:colOff>
      <xdr:row>68</xdr:row>
      <xdr:rowOff>138906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5F0EC097-C6DD-4DDF-B11C-E2567ABFD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19843</xdr:colOff>
      <xdr:row>70</xdr:row>
      <xdr:rowOff>49609</xdr:rowOff>
    </xdr:from>
    <xdr:to>
      <xdr:col>4</xdr:col>
      <xdr:colOff>1141016</xdr:colOff>
      <xdr:row>91</xdr:row>
      <xdr:rowOff>79374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FC0EBC36-04BF-42FE-85C4-6C329854A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19843</xdr:colOff>
      <xdr:row>70</xdr:row>
      <xdr:rowOff>49608</xdr:rowOff>
    </xdr:from>
    <xdr:to>
      <xdr:col>9</xdr:col>
      <xdr:colOff>555624</xdr:colOff>
      <xdr:row>91</xdr:row>
      <xdr:rowOff>119061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278CF89D-6381-4FB0-89E6-8D7C610FC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843358</xdr:colOff>
      <xdr:row>70</xdr:row>
      <xdr:rowOff>39688</xdr:rowOff>
    </xdr:from>
    <xdr:to>
      <xdr:col>14</xdr:col>
      <xdr:colOff>39686</xdr:colOff>
      <xdr:row>91</xdr:row>
      <xdr:rowOff>138906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7A0ED861-6A2C-42AF-BD33-1937D280C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7</xdr:col>
      <xdr:colOff>667968</xdr:colOff>
      <xdr:row>2</xdr:row>
      <xdr:rowOff>82357</xdr:rowOff>
    </xdr:from>
    <xdr:to>
      <xdr:col>7</xdr:col>
      <xdr:colOff>930049</xdr:colOff>
      <xdr:row>3</xdr:row>
      <xdr:rowOff>159326</xdr:rowOff>
    </xdr:to>
    <xdr:pic>
      <xdr:nvPicPr>
        <xdr:cNvPr id="4" name="Gráfico 3" descr="Cursor estrutura de tópicos">
          <a:extLst>
            <a:ext uri="{FF2B5EF4-FFF2-40B4-BE49-F238E27FC236}">
              <a16:creationId xmlns:a16="http://schemas.microsoft.com/office/drawing/2014/main" id="{32486284-672D-4A48-928C-FA668027F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748468" y="736407"/>
          <a:ext cx="262081" cy="292869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0</xdr:row>
      <xdr:rowOff>31750</xdr:rowOff>
    </xdr:from>
    <xdr:to>
      <xdr:col>2</xdr:col>
      <xdr:colOff>430084</xdr:colOff>
      <xdr:row>3</xdr:row>
      <xdr:rowOff>175427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375A5A-73F1-4046-B983-F72716780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31750"/>
          <a:ext cx="2246184" cy="1013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44901</xdr:colOff>
      <xdr:row>0</xdr:row>
      <xdr:rowOff>51313</xdr:rowOff>
    </xdr:from>
    <xdr:to>
      <xdr:col>2</xdr:col>
      <xdr:colOff>424185</xdr:colOff>
      <xdr:row>3</xdr:row>
      <xdr:rowOff>194990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AFBD868-13CC-4236-9AE9-14DF69E3A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83" y="51313"/>
          <a:ext cx="2245799" cy="1016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274268</xdr:colOff>
      <xdr:row>2</xdr:row>
      <xdr:rowOff>76007</xdr:rowOff>
    </xdr:from>
    <xdr:to>
      <xdr:col>5</xdr:col>
      <xdr:colOff>536349</xdr:colOff>
      <xdr:row>3</xdr:row>
      <xdr:rowOff>121226</xdr:rowOff>
    </xdr:to>
    <xdr:pic>
      <xdr:nvPicPr>
        <xdr:cNvPr id="8" name="Gráfico 7" descr="Cursor estrutura de tópicos">
          <a:extLst>
            <a:ext uri="{FF2B5EF4-FFF2-40B4-BE49-F238E27FC236}">
              <a16:creationId xmlns:a16="http://schemas.microsoft.com/office/drawing/2014/main" id="{7431179F-CCAF-4DED-AB64-F51C1B073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58662" y="730249"/>
          <a:ext cx="262081" cy="263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38100</xdr:rowOff>
    </xdr:from>
    <xdr:to>
      <xdr:col>2</xdr:col>
      <xdr:colOff>429698</xdr:colOff>
      <xdr:row>3</xdr:row>
      <xdr:rowOff>184150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F647247F-00C1-485D-482C-A427CE965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49" y="38100"/>
          <a:ext cx="2245799" cy="1016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274268</xdr:colOff>
      <xdr:row>2</xdr:row>
      <xdr:rowOff>76007</xdr:rowOff>
    </xdr:from>
    <xdr:to>
      <xdr:col>5</xdr:col>
      <xdr:colOff>536349</xdr:colOff>
      <xdr:row>3</xdr:row>
      <xdr:rowOff>121226</xdr:rowOff>
    </xdr:to>
    <xdr:pic>
      <xdr:nvPicPr>
        <xdr:cNvPr id="14" name="Gráfico 13" descr="Cursor estrutura de tópicos">
          <a:extLst>
            <a:ext uri="{FF2B5EF4-FFF2-40B4-BE49-F238E27FC236}">
              <a16:creationId xmlns:a16="http://schemas.microsoft.com/office/drawing/2014/main" id="{26D6037D-D76F-479B-AA61-271273B6E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55968" y="730057"/>
          <a:ext cx="262081" cy="261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38100</xdr:rowOff>
    </xdr:from>
    <xdr:to>
      <xdr:col>2</xdr:col>
      <xdr:colOff>423349</xdr:colOff>
      <xdr:row>3</xdr:row>
      <xdr:rowOff>184150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22181D1-51FC-4CA1-A393-CC1741F12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38100"/>
          <a:ext cx="2245799" cy="1016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254000</xdr:colOff>
      <xdr:row>2</xdr:row>
      <xdr:rowOff>88900</xdr:rowOff>
    </xdr:from>
    <xdr:to>
      <xdr:col>5</xdr:col>
      <xdr:colOff>516081</xdr:colOff>
      <xdr:row>3</xdr:row>
      <xdr:rowOff>134119</xdr:rowOff>
    </xdr:to>
    <xdr:pic>
      <xdr:nvPicPr>
        <xdr:cNvPr id="7" name="Gráfico 6" descr="Cursor estrutura de tópicos">
          <a:extLst>
            <a:ext uri="{FF2B5EF4-FFF2-40B4-BE49-F238E27FC236}">
              <a16:creationId xmlns:a16="http://schemas.microsoft.com/office/drawing/2014/main" id="{5971DF13-E119-4B53-B304-F5B8A03DD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35700" y="742950"/>
          <a:ext cx="262081" cy="261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45358</xdr:colOff>
      <xdr:row>0</xdr:row>
      <xdr:rowOff>38879</xdr:rowOff>
    </xdr:from>
    <xdr:to>
      <xdr:col>2</xdr:col>
      <xdr:colOff>425035</xdr:colOff>
      <xdr:row>3</xdr:row>
      <xdr:rowOff>186614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7D5DB2-DB80-4777-869F-59DC9A79E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827" y="38879"/>
          <a:ext cx="2245799" cy="1016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272143</xdr:colOff>
      <xdr:row>2</xdr:row>
      <xdr:rowOff>90713</xdr:rowOff>
    </xdr:from>
    <xdr:to>
      <xdr:col>5</xdr:col>
      <xdr:colOff>534224</xdr:colOff>
      <xdr:row>3</xdr:row>
      <xdr:rowOff>138006</xdr:rowOff>
    </xdr:to>
    <xdr:pic>
      <xdr:nvPicPr>
        <xdr:cNvPr id="8" name="Gráfico 7" descr="Cursor estrutura de tópicos">
          <a:extLst>
            <a:ext uri="{FF2B5EF4-FFF2-40B4-BE49-F238E27FC236}">
              <a16:creationId xmlns:a16="http://schemas.microsoft.com/office/drawing/2014/main" id="{C0048ACB-A6F3-409E-B078-AF2A11645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46327" y="745152"/>
          <a:ext cx="262081" cy="2611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246496</xdr:colOff>
      <xdr:row>2</xdr:row>
      <xdr:rowOff>57600</xdr:rowOff>
    </xdr:from>
    <xdr:to>
      <xdr:col>5</xdr:col>
      <xdr:colOff>508577</xdr:colOff>
      <xdr:row>3</xdr:row>
      <xdr:rowOff>165672</xdr:rowOff>
    </xdr:to>
    <xdr:pic>
      <xdr:nvPicPr>
        <xdr:cNvPr id="3" name="Gráfico 2" descr="Cursor estrutura de tópicos">
          <a:extLst>
            <a:ext uri="{FF2B5EF4-FFF2-40B4-BE49-F238E27FC236}">
              <a16:creationId xmlns:a16="http://schemas.microsoft.com/office/drawing/2014/main" id="{58427140-5FE1-403B-A206-2045B4111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45646" y="711650"/>
          <a:ext cx="262081" cy="32397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0</xdr:row>
      <xdr:rowOff>50800</xdr:rowOff>
    </xdr:from>
    <xdr:to>
      <xdr:col>2</xdr:col>
      <xdr:colOff>429699</xdr:colOff>
      <xdr:row>3</xdr:row>
      <xdr:rowOff>196850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AB26CBB-D139-403A-B5BA-5CA9CDE94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50800"/>
          <a:ext cx="2245799" cy="1016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245494</xdr:colOff>
      <xdr:row>2</xdr:row>
      <xdr:rowOff>64953</xdr:rowOff>
    </xdr:from>
    <xdr:to>
      <xdr:col>5</xdr:col>
      <xdr:colOff>505570</xdr:colOff>
      <xdr:row>3</xdr:row>
      <xdr:rowOff>115186</xdr:rowOff>
    </xdr:to>
    <xdr:pic>
      <xdr:nvPicPr>
        <xdr:cNvPr id="3" name="Gráfico 2" descr="Cursor estrutura de tópicos">
          <a:extLst>
            <a:ext uri="{FF2B5EF4-FFF2-40B4-BE49-F238E27FC236}">
              <a16:creationId xmlns:a16="http://schemas.microsoft.com/office/drawing/2014/main" id="{5BB9821D-221A-4067-BB1C-B246C6FFA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27862" y="720006"/>
          <a:ext cx="260076" cy="264127"/>
        </a:xfrm>
        <a:prstGeom prst="rect">
          <a:avLst/>
        </a:prstGeom>
      </xdr:spPr>
    </xdr:pic>
    <xdr:clientData/>
  </xdr:twoCellAnchor>
  <xdr:twoCellAnchor editAs="oneCell">
    <xdr:from>
      <xdr:col>1</xdr:col>
      <xdr:colOff>53472</xdr:colOff>
      <xdr:row>0</xdr:row>
      <xdr:rowOff>33421</xdr:rowOff>
    </xdr:from>
    <xdr:to>
      <xdr:col>2</xdr:col>
      <xdr:colOff>434377</xdr:colOff>
      <xdr:row>3</xdr:row>
      <xdr:rowOff>180474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C7B0C45-2346-46C5-80D4-4DC064CED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61" y="33421"/>
          <a:ext cx="2245799" cy="1016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72C51109-B82B-4FE5-B9DB-BC1451746FAB}" name="Tabela324" displayName="Tabela324" ref="C67:P176" headerRowCount="0" totalsRowShown="0" headerRowDxfId="1267" dataDxfId="1265" headerRowBorderDxfId="1266" tableBorderDxfId="1264">
  <tableColumns count="14">
    <tableColumn id="1" xr3:uid="{9B7083CA-8FA9-482D-96D1-734DD0F4BA4B}" name="Coluna1" headerRowDxfId="1263" dataDxfId="1262"/>
    <tableColumn id="2" xr3:uid="{D5EB355C-456E-4157-83C9-AF5819E8E86B}" name="Coluna2" headerRowDxfId="1261" dataDxfId="1260">
      <calculatedColumnFormula>SUM(E67:P67)</calculatedColumnFormula>
    </tableColumn>
    <tableColumn id="3" xr3:uid="{28B653B6-3C6A-4EC9-811A-0BF40BB1439E}" name="Coluna3" headerRowDxfId="1259" dataDxfId="1258"/>
    <tableColumn id="4" xr3:uid="{3BC9B75A-100F-401E-990F-8920CFE563CB}" name="Coluna4" headerRowDxfId="1257" dataDxfId="1256"/>
    <tableColumn id="5" xr3:uid="{AFFE6137-9BD1-4C53-8E78-BBE1148A17AC}" name="Coluna5" headerRowDxfId="1255" dataDxfId="1254"/>
    <tableColumn id="6" xr3:uid="{CF3795B0-4778-4D2D-B28D-11120566C002}" name="Coluna6" headerRowDxfId="1253" dataDxfId="1252"/>
    <tableColumn id="7" xr3:uid="{0402D89E-E1A0-4306-8D6C-28488A9D15FD}" name="Coluna7" headerRowDxfId="1251" dataDxfId="1250"/>
    <tableColumn id="8" xr3:uid="{ED042C80-0D8C-4434-B9CC-577071BD1F08}" name="Coluna8" headerRowDxfId="1249" dataDxfId="1248"/>
    <tableColumn id="9" xr3:uid="{80A23253-B0DA-4024-A04C-4A2C7A648E88}" name="Coluna9" headerRowDxfId="1247" dataDxfId="1246"/>
    <tableColumn id="10" xr3:uid="{EE633A1A-878F-4C6F-9B8A-804F155348B4}" name="Coluna10" headerRowDxfId="1245" dataDxfId="1244"/>
    <tableColumn id="11" xr3:uid="{AF62109F-E708-40DD-B406-F4814755AA7D}" name="Coluna11" headerRowDxfId="1243" dataDxfId="1242"/>
    <tableColumn id="12" xr3:uid="{02879B39-D0CA-4896-9232-3961352FCB66}" name="Coluna12" headerRowDxfId="1241" dataDxfId="1240"/>
    <tableColumn id="13" xr3:uid="{48ECF63F-6377-4B31-8A6B-6ADE779A79B3}" name="Coluna13" headerRowDxfId="1239" dataDxfId="1238"/>
    <tableColumn id="14" xr3:uid="{2BE5FF7E-ABED-4AC7-A43D-9739307155B0}" name="Coluna14" headerRowDxfId="1237" dataDxfId="123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ECF29E4-AAC8-48B2-8CFE-CC4845D73A79}" name="Tabela13536679" displayName="Tabela13536679" ref="C34:R63" totalsRowShown="0" headerRowDxfId="1179" dataDxfId="1178" tableBorderDxfId="1177" dataCellStyle="Título 2">
  <tableColumns count="16">
    <tableColumn id="1" xr3:uid="{D2AB00CC-D1C8-4BEA-8867-079A6BC1274B}" name="Nome do paciente " dataDxfId="1176" dataCellStyle="Título 2"/>
    <tableColumn id="2" xr3:uid="{AD00A8BD-7D7E-437B-8DA4-E61C9C9F4712}" name="Telefone" dataDxfId="1175" dataCellStyle="Título 2"/>
    <tableColumn id="3" xr3:uid="{D2B413BE-8DEB-4017-B21A-0023CF457716}" name="Email" dataDxfId="1174"/>
    <tableColumn id="4" xr3:uid="{A6C2AFE4-273D-4817-A55B-6ED6D8C603F3}" name="Total/mês" dataDxfId="1173" dataCellStyle="Título 2">
      <calculatedColumnFormula>SUM(Tabela13536679[[#This Row],[Valor cobrado por sessão]]*Tabela13536679[[#This Row],[Número sessão/mês]])</calculatedColumnFormula>
    </tableColumn>
    <tableColumn id="5" xr3:uid="{300D8390-AFEF-4D27-BE81-4E94DF5253E9}" name="Valor cobrado por sessão" dataDxfId="1172" dataCellStyle="Título 2"/>
    <tableColumn id="6" xr3:uid="{24C34C20-9D08-45E8-86C8-64D88FCBE0AE}" name="Número sessão/mês" dataDxfId="1171" dataCellStyle="Título 2"/>
    <tableColumn id="7" xr3:uid="{1F57961B-E5AB-44D9-9427-9B5882FC6D7E}" name="Semana 1" dataDxfId="1170" dataCellStyle="Título 2"/>
    <tableColumn id="8" xr3:uid="{071047D8-B302-467C-A46D-51E52BC0D95D}" name="Pago" dataDxfId="1169" dataCellStyle="Título 2"/>
    <tableColumn id="9" xr3:uid="{E5F9E36E-D676-431D-9586-6AD6B6B0F03C}" name="Semana 2" dataDxfId="1168" dataCellStyle="Título 2"/>
    <tableColumn id="10" xr3:uid="{5EE94A0B-EE42-4A33-87F9-3105CDCCE569}" name="Pago2" dataDxfId="1167" dataCellStyle="Título 2"/>
    <tableColumn id="11" xr3:uid="{6211A923-8256-4C06-A27F-020414D21615}" name="Semana 3" dataDxfId="1166" dataCellStyle="Título 2"/>
    <tableColumn id="12" xr3:uid="{77DA5A55-EBC1-4CAD-8456-C4617DCE4D2D}" name="Pago3" dataDxfId="1165" dataCellStyle="Título 2"/>
    <tableColumn id="13" xr3:uid="{7D7ABDC9-4484-4289-8FF5-30B13B32EFED}" name="Semana 4" dataDxfId="1164" dataCellStyle="Título 2"/>
    <tableColumn id="14" xr3:uid="{054A3F99-1533-468A-ADD8-24DC077C228B}" name="Pago4" dataDxfId="1163" dataCellStyle="Título 2"/>
    <tableColumn id="15" xr3:uid="{4A27BD2B-EF13-4E4E-B431-F75E6AD6B013}" name="Semana 5" dataDxfId="1162" dataCellStyle="Título 2"/>
    <tableColumn id="16" xr3:uid="{D1B17070-6FEC-400F-AEC0-421C3AE73F4C}" name="Pago5" dataDxfId="1161" dataCellStyle="Título 2"/>
  </tableColumns>
  <tableStyleInfo name="TableStyleLight1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CF1FF70-5190-460F-A494-1ED9F8D5D1E9}" name="Assessoria_jurídica5164779223548618598" displayName="Assessoria_jurídica5164779223548618598" ref="H78:I83" totalsRowCount="1" headerRowDxfId="465" dataDxfId="464" totalsRowDxfId="463">
  <tableColumns count="2">
    <tableColumn id="1" xr3:uid="{0516D80F-239C-44F8-9CA0-5ED1BEA34CFE}" name="ASSESSORIA JURÍDICA" totalsRowLabel="Subtotal" dataDxfId="462" totalsRowDxfId="461">
      <calculatedColumnFormula>Assessoria_jurídica516477[[#This Row],[ASSESSORIA JURÍDICA]]</calculatedColumnFormula>
    </tableColumn>
    <tableColumn id="2" xr3:uid="{65BBF3CF-60A4-47A6-8D5A-B08E26A1B997}" name="Custo " totalsRowFunction="custom" dataDxfId="460" totalsRowDxfId="459">
      <totalsRowFormula>SUM(Assessoria_jurídica5164779223548618598[[Custo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52A9455-B590-4825-AA19-A1FDBBE57B80}" name="Tabela1353667910233649628699" displayName="Tabela1353667910233649628699" ref="C34:R63" totalsRowShown="0" headerRowDxfId="458" dataDxfId="457" tableBorderDxfId="456" dataCellStyle="Título 2">
  <tableColumns count="16">
    <tableColumn id="1" xr3:uid="{B10C61CC-3ABE-4058-9771-7CD520370416}" name="Nome do paciente " dataDxfId="455" dataCellStyle="Título 2"/>
    <tableColumn id="2" xr3:uid="{638CE546-5E5C-461A-9F73-8FF6EABD7D14}" name="Telefone" dataDxfId="454" dataCellStyle="Título 2"/>
    <tableColumn id="3" xr3:uid="{D081D6C5-5578-45DC-BBC4-EDE1432569D9}" name="Email" dataDxfId="453"/>
    <tableColumn id="4" xr3:uid="{0E522A0E-D3BC-49AE-B2E0-B45115004BFA}" name="Total/mês" dataDxfId="452" dataCellStyle="Título 2">
      <calculatedColumnFormula>SUM(Tabela1353667910233649628699[[#This Row],[Valor cobrado por sessão]]*Tabela1353667910233649628699[[#This Row],[Número sessão/mês]])</calculatedColumnFormula>
    </tableColumn>
    <tableColumn id="5" xr3:uid="{8131B50F-BF13-4C63-BDD4-B3BFBFC35751}" name="Valor cobrado por sessão" dataDxfId="451" dataCellStyle="Título 2"/>
    <tableColumn id="6" xr3:uid="{A6A96207-CFCD-4496-BDE9-551865F89A8A}" name="Número sessão/mês" dataDxfId="450" dataCellStyle="Título 2"/>
    <tableColumn id="7" xr3:uid="{6439E26B-2F2B-478A-AC44-11F26178BE74}" name="Semana 1" dataDxfId="449" dataCellStyle="Título 2"/>
    <tableColumn id="8" xr3:uid="{49418BEF-8CB7-47DB-9643-BE63A6243978}" name="Pago" dataDxfId="448" dataCellStyle="Título 2"/>
    <tableColumn id="9" xr3:uid="{E2CC1ED1-D614-42CA-970A-EA1CE595E296}" name="Semana 2" dataDxfId="447" dataCellStyle="Título 2"/>
    <tableColumn id="10" xr3:uid="{FACB79EB-0A28-4FEA-9BB5-36D1415D0F34}" name="Pago2" dataDxfId="446" dataCellStyle="Título 2"/>
    <tableColumn id="11" xr3:uid="{A8495B90-A297-422B-B29B-A4D5D17C4FA1}" name="Semana 3" dataDxfId="445" dataCellStyle="Título 2"/>
    <tableColumn id="12" xr3:uid="{9587F919-5091-4DBD-BA3B-78B34BDEB7B5}" name="Pago3" dataDxfId="444" dataCellStyle="Título 2"/>
    <tableColumn id="13" xr3:uid="{01697761-C960-4DC6-9B75-71B8E4FF5062}" name="Semana 4" dataDxfId="443" dataCellStyle="Título 2"/>
    <tableColumn id="14" xr3:uid="{8DCC01DB-02EE-4A6E-AF5A-7D2590586382}" name="Pago4" dataDxfId="442" dataCellStyle="Título 2"/>
    <tableColumn id="15" xr3:uid="{E3D70237-6832-445E-A353-872D166A42E7}" name="Semana 5" dataDxfId="441" dataCellStyle="Título 2"/>
    <tableColumn id="16" xr3:uid="{FA13208A-E2BC-4D32-A9EF-A9EDF096B912}" name="Pago5" dataDxfId="440" dataCellStyle="Título 2"/>
  </tableColumns>
  <tableStyleInfo name="TableStyleLight1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B82EAA05-E79F-4054-B817-C80EE8AA51F6}" name="Poupança476073236112437506387100" displayName="Poupança476073236112437506387100" ref="E102:F108" totalsRowCount="1" headerRowDxfId="439" dataDxfId="438" totalsRowDxfId="437">
  <tableColumns count="2">
    <tableColumn id="1" xr3:uid="{2992229A-7DFB-43AF-B665-4D2F709CB8ED}" name="POUPANÇAS OU INVESTIMENTOS" totalsRowLabel="Subtotal" dataDxfId="436" totalsRowDxfId="435">
      <calculatedColumnFormula>Poupança476073236[[#This Row],[POUPANÇAS OU INVESTIMENTOS]]</calculatedColumnFormula>
    </tableColumn>
    <tableColumn id="2" xr3:uid="{C975F1ED-D564-4B77-8089-F597235AB02C}" name="Custo " totalsRowFunction="custom" dataDxfId="434" totalsRowDxfId="433">
      <totalsRowFormula>SUM(Poupança476073236112437506387100[[Custo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5C46E34-0EE0-4B5F-BC1C-D8F714ABC5B1}" name="Empréstimos435669122538516488101" displayName="Empréstimos435669122538516488101" ref="H93:I100" totalsRowCount="1" headerRowDxfId="432" dataDxfId="431" totalsRowDxfId="430">
  <tableColumns count="2">
    <tableColumn id="1" xr3:uid="{65C4E6F7-2B50-4215-A1C4-D9004D053BB3}" name="EMPRÉSTIMOS" totalsRowLabel="Subtotal" dataDxfId="429" totalsRowDxfId="428">
      <calculatedColumnFormula>Empréstimos435669[[#This Row],[EMPRÉSTIMOS]]</calculatedColumnFormula>
    </tableColumn>
    <tableColumn id="2" xr3:uid="{94FD22C6-C4C2-478F-BCC2-5708AB46140B}" name="Custo " totalsRowFunction="custom" dataDxfId="427" totalsRowDxfId="426">
      <totalsRowFormula>SUM(Empréstimos435669122538516488101[[Custo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C5D21288-20E3-455C-95E1-C9BAD1CC8FF5}" name="Impostos465972132639526589102" displayName="Impostos465972132639526589102" ref="H102:I107" totalsRowCount="1" headerRowDxfId="425" dataDxfId="424" totalsRowDxfId="423">
  <tableColumns count="2">
    <tableColumn id="1" xr3:uid="{A7DDA377-476F-4E1B-8281-880B5F2068A5}" name="IMPOSTOS" totalsRowLabel="Subtotal" dataDxfId="422" totalsRowDxfId="421">
      <calculatedColumnFormula>Impostos465972[[#This Row],[IMPOSTOS]]</calculatedColumnFormula>
    </tableColumn>
    <tableColumn id="2" xr3:uid="{FC494C5E-34DA-40C9-A9EB-D50C49E09D77}" name="Custo " totalsRowFunction="custom" dataDxfId="420" totalsRowDxfId="419">
      <totalsRowFormula>SUM(Impostos465972132639526589102[[Custo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DC9AF29C-7CA5-48AC-BBA7-7D1608AA57A3}" name="CuidadosPessoais526578241142740536690103" displayName="CuidadosPessoais526578241142740536690103" ref="E85:F100" totalsRowCount="1" headerRowDxfId="418" dataDxfId="417" totalsRowDxfId="416">
  <tableColumns count="2">
    <tableColumn id="1" xr3:uid="{8260B854-6642-4837-B640-9874846DCD7C}" name="CUIDADOS PESSOAIS" totalsRowLabel="Subtotal" dataDxfId="415" totalsRowDxfId="414">
      <calculatedColumnFormula>CuidadosPessoais526578241[[#This Row],[CUIDADOS PESSOAIS]]</calculatedColumnFormula>
    </tableColumn>
    <tableColumn id="2" xr3:uid="{0549CF2E-61F8-4EAF-A942-C82945C249BD}" name="Custo " totalsRowFunction="custom" dataDxfId="413" totalsRowDxfId="412">
      <totalsRowFormula>SUM(CuidadosPessoais526578241142740536690103[[Custo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800EFB08-016A-4E91-B870-47DD5498CCBD}" name="Moradia4154672152841547391104" displayName="Moradia4154672152841547391104" ref="B72:C83" totalsRowCount="1" headerRowDxfId="411" dataDxfId="410" totalsRowDxfId="409">
  <tableColumns count="2">
    <tableColumn id="1" xr3:uid="{A1D1CE04-EB28-4C22-B37F-F3ED9FD1D6B2}" name="MORADIA" totalsRowLabel="Subtotal" dataDxfId="408" totalsRowDxfId="407">
      <calculatedColumnFormula>Moradia415467[[#This Row],[MORADIA]]</calculatedColumnFormula>
    </tableColumn>
    <tableColumn id="2" xr3:uid="{CC0D70D9-FBB4-468A-A353-E3CB3172E721}" name="Custo " totalsRowFunction="custom" dataDxfId="406" totalsRowDxfId="405">
      <totalsRowFormula>SUM(Moradia4154672152841547391104[[Custo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625FD075-686E-4DCC-976B-F3A0827CBBD8}" name="Entretenimento4255683162942557892105" displayName="Entretenimento4255683162942557892105" ref="E72:F83" totalsRowCount="1" headerRowDxfId="404" dataDxfId="403" totalsRowDxfId="402">
  <tableColumns count="2">
    <tableColumn id="1" xr3:uid="{825BA00A-16CD-4063-87B0-D85066825A5E}" name="ENTRETENIMENTO" totalsRowLabel="Subtotal" dataDxfId="401" totalsRowDxfId="400">
      <calculatedColumnFormula>Entretenimento425568[[#This Row],[ENTRETENIMENTO]]</calculatedColumnFormula>
    </tableColumn>
    <tableColumn id="3" xr3:uid="{B62F38DE-D8A8-4003-9E5B-4732B1640689}" name="Custo " totalsRowFunction="custom" dataDxfId="399" totalsRowDxfId="398">
      <totalsRowFormula>SUM(Entretenimento4255683162942557892105[[Custo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E0D481F-5381-4B90-82E4-FB4E6AA37615}" name="Transporte4457704173043568093106" displayName="Transporte4457704173043568093106" ref="B85:C93" totalsRowCount="1" headerRowDxfId="397" dataDxfId="396" totalsRowDxfId="395">
  <tableColumns count="2">
    <tableColumn id="1" xr3:uid="{1424ADEB-44AA-4DA9-8A05-66D1B9CD1052}" name="TRANSPORTE" totalsRowLabel="Subtotal" dataDxfId="394" totalsRowDxfId="393">
      <calculatedColumnFormula>Transporte445770[[#This Row],[TRANSPORTE]]</calculatedColumnFormula>
    </tableColumn>
    <tableColumn id="2" xr3:uid="{31F9B206-46C5-4174-BF45-4DF12F8BDAF6}" name="Custo " totalsRowFunction="custom" dataDxfId="392" totalsRowDxfId="391">
      <totalsRowFormula>SUM(Transporte4457704173043568093106[[Custo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D914B1A-C802-4319-9DE4-3E0A3006618C}" name="Seguro4558715183144578194107" displayName="Seguro4558715183144578194107" ref="B95:C100" totalsRowCount="1" headerRowDxfId="390" dataDxfId="389" totalsRowDxfId="388">
  <tableColumns count="2">
    <tableColumn id="1" xr3:uid="{12309D76-5E11-4D7A-AC60-7990E324C792}" name="SEGURO" totalsRowLabel="Subtotal" dataDxfId="387" totalsRowDxfId="386">
      <calculatedColumnFormula>Seguro455871[[#This Row],[SEGURO]]</calculatedColumnFormula>
    </tableColumn>
    <tableColumn id="2" xr3:uid="{04D84BB3-E20F-4770-AD36-CC83008D3F78}" name="Custo " totalsRowFunction="custom" dataDxfId="385" totalsRowDxfId="384">
      <totalsRowFormula>SUM(Seguro4558715183144578194107[[Custo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2D7310CC-D861-48AB-BC0D-09D1958143FC}" name="Poupança476073236" displayName="Poupança476073236" ref="E102:F108" totalsRowCount="1" headerRowDxfId="1160" dataDxfId="1159" totalsRowDxfId="1158">
  <tableColumns count="2">
    <tableColumn id="1" xr3:uid="{158F6DAA-EFC7-4D2A-9590-E2F9CA375765}" name="POUPANÇAS OU INVESTIMENTOS" totalsRowLabel="Subtotal" dataDxfId="1157" totalsRowDxfId="1156"/>
    <tableColumn id="2" xr3:uid="{782C64F1-957A-4E70-8268-3D700E835230}" name="Custo " totalsRowFunction="custom" dataDxfId="1155" totalsRowDxfId="1154">
      <totalsRowFormula>SUM(Poupança476073236[[Custo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9337EC8-FFE2-4200-80F4-2FB49E53AC8A}" name="Alimentação4861746193245588295108" displayName="Alimentação4861746193245588295108" ref="B102:C108" totalsRowCount="1" headerRowDxfId="383" dataDxfId="382" totalsRowDxfId="381">
  <tableColumns count="2">
    <tableColumn id="1" xr3:uid="{6D310925-1F39-43CD-AEDF-A4EC77AECBBF}" name="ALIMENTAÇÃO" totalsRowLabel="Subtotal" dataDxfId="380" totalsRowDxfId="379">
      <calculatedColumnFormula>Alimentação486174[[#This Row],[ALIMENTAÇÃO]]</calculatedColumnFormula>
    </tableColumn>
    <tableColumn id="2" xr3:uid="{32849996-F5C4-4E26-A4B3-A8C944C6FC3A}" name="Custo " totalsRowFunction="custom" dataDxfId="378" totalsRowDxfId="377">
      <totalsRowFormula>SUM(Alimentação4861746193245588295108[[Custo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898278E3-F0AB-480B-A277-1A56FFE8D82A}" name="Presentes4962757203346598396109" displayName="Presentes4962757203346598396109" ref="H72:I76" totalsRowCount="1" headerRowDxfId="376" dataDxfId="375" totalsRowDxfId="374">
  <autoFilter ref="H72:I75" xr:uid="{00000000-0009-0000-0100-000009000000}">
    <filterColumn colId="0" hiddenButton="1"/>
    <filterColumn colId="1" hiddenButton="1"/>
  </autoFilter>
  <tableColumns count="2">
    <tableColumn id="1" xr3:uid="{DA0A6622-21C9-4111-982A-2C5E9E00AA9E}" name="PRESENTES E DOAÇÕES" totalsRowLabel="Subtotal" dataDxfId="373" totalsRowDxfId="372">
      <calculatedColumnFormula>Presentes496275[[#This Row],[PRESENTES E DOAÇÕES]]</calculatedColumnFormula>
    </tableColumn>
    <tableColumn id="2" xr3:uid="{F949A363-95D2-4A5A-81DC-B4F06C9271AE}" name="Custo " totalsRowFunction="custom" dataDxfId="371" totalsRowDxfId="370">
      <totalsRowFormula>SUM(Presentes4962757203346598396109[[Custo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067F841-B177-4B8C-BF48-E886893AD827}" name="Animais_de_estimação5063768213447608497110" displayName="Animais_de_estimação5063768213447608497110" ref="H85:I91" totalsRowCount="1" headerRowDxfId="369" dataDxfId="368" totalsRowDxfId="367">
  <tableColumns count="2">
    <tableColumn id="1" xr3:uid="{9612ECE7-0ABF-43D1-BA87-C85619950EBD}" name="ANIMAIS DE ESTIMAÇÃO" totalsRowLabel="Subtotal" dataDxfId="366" totalsRowDxfId="365">
      <calculatedColumnFormula>Animais_de_estimação506376[[#This Row],[ANIMAIS DE ESTIMAÇÃO]]</calculatedColumnFormula>
    </tableColumn>
    <tableColumn id="2" xr3:uid="{5A8BB5A3-6845-4450-BEBD-BB35845625F0}" name="Custo " totalsRowFunction="custom" dataDxfId="364" totalsRowDxfId="363">
      <totalsRowFormula>SUM(Animais_de_estimação5063768213447608497110[[Custo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AE249A33-956E-4837-AA7D-7305D93E9484}" name="Assessoria_jurídica5164779223548618598111" displayName="Assessoria_jurídica5164779223548618598111" ref="H78:I83" totalsRowCount="1" headerRowDxfId="362" dataDxfId="361" totalsRowDxfId="360">
  <tableColumns count="2">
    <tableColumn id="1" xr3:uid="{2F3267AC-FE67-40D9-88DB-1B1AB11C8E7C}" name="ASSESSORIA JURÍDICA" totalsRowLabel="Subtotal" dataDxfId="359" totalsRowDxfId="358">
      <calculatedColumnFormula>Assessoria_jurídica516477[[#This Row],[ASSESSORIA JURÍDICA]]</calculatedColumnFormula>
    </tableColumn>
    <tableColumn id="2" xr3:uid="{F106BF54-9396-4ED2-8B66-ECB35F0EDBB5}" name="Custo " totalsRowFunction="custom" dataDxfId="357" totalsRowDxfId="356">
      <totalsRowFormula>SUM(Assessoria_jurídica5164779223548618598111[[Custo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7B42C1B-5828-4F63-81D3-FCE62A9F69BF}" name="Tabela1353667910233649628699112" displayName="Tabela1353667910233649628699112" ref="C34:R63" totalsRowShown="0" headerRowDxfId="355" dataDxfId="354" tableBorderDxfId="353" dataCellStyle="Título 2">
  <tableColumns count="16">
    <tableColumn id="1" xr3:uid="{A73DCB9F-808E-4C53-A8F3-7902E011506A}" name="Nome do paciente " dataDxfId="352" dataCellStyle="Título 2"/>
    <tableColumn id="2" xr3:uid="{4FD0F465-7B29-499F-A7C9-10739BF01738}" name="Telefone" dataDxfId="351" dataCellStyle="Título 2"/>
    <tableColumn id="3" xr3:uid="{7366A5E2-CAB8-4969-A7D6-4B3AB18C749A}" name="Email" dataDxfId="350"/>
    <tableColumn id="4" xr3:uid="{D1D8B8BF-3BA5-4B8C-8B87-08C7370DB77D}" name="Total/mês" dataDxfId="349" dataCellStyle="Título 2">
      <calculatedColumnFormula>SUM(Tabela1353667910233649628699112[[#This Row],[Valor cobrado por sessão]]*Tabela1353667910233649628699112[[#This Row],[Número sessão/mês]])</calculatedColumnFormula>
    </tableColumn>
    <tableColumn id="5" xr3:uid="{42884532-D5C1-4F9F-8B65-DCF6F5401A9E}" name="Valor cobrado por sessão" dataDxfId="348" dataCellStyle="Título 2"/>
    <tableColumn id="6" xr3:uid="{7CAC67F6-45CA-4FDA-B580-E471CE6811E6}" name="Número sessão/mês" dataDxfId="347" dataCellStyle="Título 2"/>
    <tableColumn id="7" xr3:uid="{B7ED1D12-84ED-4E6F-BBF6-4F87EF46A5CF}" name="Semana 1" dataDxfId="346" dataCellStyle="Título 2"/>
    <tableColumn id="8" xr3:uid="{63153878-0CA2-4314-9B5A-ACC7B6ECE945}" name="Pago" dataDxfId="345" dataCellStyle="Título 2"/>
    <tableColumn id="9" xr3:uid="{751E26B6-F433-415E-9FA5-25280FEF9779}" name="Semana 2" dataDxfId="344" dataCellStyle="Título 2"/>
    <tableColumn id="10" xr3:uid="{C6AEACEA-730E-4A36-B5F0-A826BE9BE951}" name="Pago2" dataDxfId="343" dataCellStyle="Título 2"/>
    <tableColumn id="11" xr3:uid="{3139A498-082E-4200-AC18-6E9AA2CC1602}" name="Semana 3" dataDxfId="342" dataCellStyle="Título 2"/>
    <tableColumn id="12" xr3:uid="{BBF59A99-1ECD-4ED7-B919-FB08F26E2FE0}" name="Pago3" dataDxfId="341" dataCellStyle="Título 2"/>
    <tableColumn id="13" xr3:uid="{ECD8B74C-E3DF-49D0-8EAA-170F70F6AEF3}" name="Semana 4" dataDxfId="340" dataCellStyle="Título 2"/>
    <tableColumn id="14" xr3:uid="{98C9473E-BEFD-45B5-9527-683B113C9715}" name="Pago4" dataDxfId="339" dataCellStyle="Título 2"/>
    <tableColumn id="15" xr3:uid="{A859EB1D-4E55-40F8-9561-645C61910F4B}" name="Semana 5" dataDxfId="338" dataCellStyle="Título 2"/>
    <tableColumn id="16" xr3:uid="{670E48D0-AE40-4B65-A225-E4A6C9710D71}" name="Pago5" dataDxfId="337" dataCellStyle="Título 2"/>
  </tableColumns>
  <tableStyleInfo name="TableStyleLight1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B245F2B-E23B-48D0-9C6B-12AA68A7E728}" name="Poupança476073236112437506387100113" displayName="Poupança476073236112437506387100113" ref="E102:F108" totalsRowCount="1" headerRowDxfId="336" dataDxfId="335" totalsRowDxfId="334">
  <tableColumns count="2">
    <tableColumn id="1" xr3:uid="{AFF35806-5469-432A-ABD8-064D0D795D61}" name="POUPANÇAS OU INVESTIMENTOS" totalsRowLabel="Subtotal" dataDxfId="333" totalsRowDxfId="332">
      <calculatedColumnFormula>Poupança476073236[[#This Row],[POUPANÇAS OU INVESTIMENTOS]]</calculatedColumnFormula>
    </tableColumn>
    <tableColumn id="2" xr3:uid="{45594563-837E-427D-8587-6F9F918966CF}" name="Custo " totalsRowFunction="custom" dataDxfId="331" totalsRowDxfId="330">
      <totalsRowFormula>SUM(Poupança476073236112437506387100113[[Custo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FA1D5AC-77D7-4D08-9F51-FD46BDE405F2}" name="Empréstimos435669122538516488101114" displayName="Empréstimos435669122538516488101114" ref="H93:I100" totalsRowCount="1" headerRowDxfId="329" dataDxfId="328" totalsRowDxfId="327">
  <tableColumns count="2">
    <tableColumn id="1" xr3:uid="{BF7C9B16-F3BC-40DF-A85E-40AEBE1B90B2}" name="EMPRÉSTIMOS" totalsRowLabel="Subtotal" dataDxfId="326" totalsRowDxfId="325">
      <calculatedColumnFormula>Empréstimos435669[[#This Row],[EMPRÉSTIMOS]]</calculatedColumnFormula>
    </tableColumn>
    <tableColumn id="2" xr3:uid="{0CE6C415-B622-4695-889D-77677075CF40}" name="Custo " totalsRowFunction="custom" dataDxfId="324" totalsRowDxfId="323">
      <totalsRowFormula>SUM(Empréstimos435669122538516488101114[[Custo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25DBD1F4-2707-4F90-B994-10721341F8E0}" name="Impostos465972132639526589102115" displayName="Impostos465972132639526589102115" ref="H102:I107" totalsRowCount="1" headerRowDxfId="322" dataDxfId="321" totalsRowDxfId="320">
  <tableColumns count="2">
    <tableColumn id="1" xr3:uid="{8D36B92E-356B-42FC-A1F1-DF4155CF91F6}" name="IMPOSTOS" totalsRowLabel="Subtotal" dataDxfId="319" totalsRowDxfId="318">
      <calculatedColumnFormula>Impostos465972[[#This Row],[IMPOSTOS]]</calculatedColumnFormula>
    </tableColumn>
    <tableColumn id="2" xr3:uid="{3ED82EAF-4A60-45E4-9751-92076A23B31C}" name="Custo " totalsRowFunction="custom" dataDxfId="317" totalsRowDxfId="316">
      <totalsRowFormula>SUM(Impostos465972132639526589102115[[Custo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14F94C63-06BD-4716-9699-159B9775DEB1}" name="CuidadosPessoais526578241142740536690103116" displayName="CuidadosPessoais526578241142740536690103116" ref="E85:F100" totalsRowCount="1" headerRowDxfId="315" dataDxfId="314" totalsRowDxfId="313">
  <tableColumns count="2">
    <tableColumn id="1" xr3:uid="{022B1C66-0822-4F33-B1C9-33D685F4DF97}" name="CUIDADOS PESSOAIS" totalsRowLabel="Subtotal" dataDxfId="312" totalsRowDxfId="311">
      <calculatedColumnFormula>CuidadosPessoais526578241[[#This Row],[CUIDADOS PESSOAIS]]</calculatedColumnFormula>
    </tableColumn>
    <tableColumn id="2" xr3:uid="{06A3BED9-70E6-43A7-9451-7A7080D23FF6}" name="Custo " totalsRowFunction="custom" dataDxfId="310" totalsRowDxfId="309">
      <totalsRowFormula>SUM(CuidadosPessoais526578241142740536690103116[[Custo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9F005A9-FDD7-40CC-81DB-23F7B2AD379F}" name="Moradia4154672152841547391104117" displayName="Moradia4154672152841547391104117" ref="B72:C83" totalsRowCount="1" headerRowDxfId="308" dataDxfId="307" totalsRowDxfId="306">
  <tableColumns count="2">
    <tableColumn id="1" xr3:uid="{F1E8531A-6538-4DAA-ABC6-7D149017B281}" name="MORADIA" totalsRowLabel="Subtotal" dataDxfId="305" totalsRowDxfId="304">
      <calculatedColumnFormula>Moradia415467[[#This Row],[MORADIA]]</calculatedColumnFormula>
    </tableColumn>
    <tableColumn id="2" xr3:uid="{914A4E06-F08E-4527-86E8-1CAB2232BA2E}" name="Custo " totalsRowFunction="custom" dataDxfId="303" totalsRowDxfId="302">
      <totalsRowFormula>SUM(Moradia4154672152841547391104117[[Custo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FAC9805-9334-4566-AE20-99EEFE354CD3}" name="Empréstimos435669" displayName="Empréstimos435669" ref="H93:I100" totalsRowCount="1" headerRowDxfId="1153" dataDxfId="1152" totalsRowDxfId="1151">
  <tableColumns count="2">
    <tableColumn id="1" xr3:uid="{D8D1C9FA-72CB-482A-B46A-7D802621FD8B}" name="EMPRÉSTIMOS" totalsRowLabel="Subtotal" dataDxfId="1150" totalsRowDxfId="1149"/>
    <tableColumn id="2" xr3:uid="{9BC3127F-9272-420C-8A31-F59B9BC54068}" name="Custo " totalsRowFunction="custom" dataDxfId="1148" totalsRowDxfId="1147">
      <totalsRowFormula>SUM(Empréstimos435669[[Custo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AA214C2-C355-48A7-A7BF-999B5D541A3B}" name="Entretenimento4255683162942557892105118" displayName="Entretenimento4255683162942557892105118" ref="E72:F83" totalsRowCount="1" headerRowDxfId="301" dataDxfId="300" totalsRowDxfId="299">
  <tableColumns count="2">
    <tableColumn id="1" xr3:uid="{103FAE23-E702-4858-8A99-F784504A04C5}" name="ENTRETENIMENTO" totalsRowLabel="Subtotal" dataDxfId="298" totalsRowDxfId="297">
      <calculatedColumnFormula>Entretenimento425568[[#This Row],[ENTRETENIMENTO]]</calculatedColumnFormula>
    </tableColumn>
    <tableColumn id="3" xr3:uid="{18B93B67-B983-4ABB-9311-062EF719E3FE}" name="Custo " totalsRowFunction="custom" dataDxfId="296" totalsRowDxfId="295">
      <totalsRowFormula>SUM(Entretenimento4255683162942557892105118[[Custo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74789DC-742F-4370-AA33-4D53843C4C1A}" name="Transporte4457704173043568093106119" displayName="Transporte4457704173043568093106119" ref="B85:C93" totalsRowCount="1" headerRowDxfId="294" dataDxfId="293" totalsRowDxfId="292">
  <tableColumns count="2">
    <tableColumn id="1" xr3:uid="{357779AC-39FE-4BA3-908E-064046A0F1E8}" name="TRANSPORTE" totalsRowLabel="Subtotal" dataDxfId="291" totalsRowDxfId="290">
      <calculatedColumnFormula>Transporte445770[[#This Row],[TRANSPORTE]]</calculatedColumnFormula>
    </tableColumn>
    <tableColumn id="2" xr3:uid="{A68ADCE6-DA68-442A-B24B-4F87CB7A606A}" name="Custo " totalsRowFunction="custom" dataDxfId="289" totalsRowDxfId="288">
      <totalsRowFormula>SUM(Transporte4457704173043568093106119[[Custo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61CC22C-9AE9-4F9A-90A1-BEF3E18F53D2}" name="Seguro4558715183144578194107120" displayName="Seguro4558715183144578194107120" ref="B95:C100" totalsRowCount="1" headerRowDxfId="287" dataDxfId="286" totalsRowDxfId="285">
  <tableColumns count="2">
    <tableColumn id="1" xr3:uid="{8E4C72D1-9FE3-4D51-BEE9-7E6F279D57D0}" name="SEGURO" totalsRowLabel="Subtotal" dataDxfId="284" totalsRowDxfId="283">
      <calculatedColumnFormula>Seguro455871[[#This Row],[SEGURO]]</calculatedColumnFormula>
    </tableColumn>
    <tableColumn id="2" xr3:uid="{1228132A-0CB7-436B-8D4B-EFE8D216857B}" name="Custo " totalsRowFunction="custom" dataDxfId="282" totalsRowDxfId="281">
      <totalsRowFormula>SUM(Seguro4558715183144578194107120[[Custo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95333B5-8BFA-451A-8DC4-911E4EAB382A}" name="Alimentação4861746193245588295108121" displayName="Alimentação4861746193245588295108121" ref="B102:C108" totalsRowCount="1" headerRowDxfId="280" dataDxfId="279" totalsRowDxfId="278">
  <tableColumns count="2">
    <tableColumn id="1" xr3:uid="{8C992E01-A8BB-4F61-A77D-CD30A497C747}" name="ALIMENTAÇÃO" totalsRowLabel="Subtotal" dataDxfId="277" totalsRowDxfId="276">
      <calculatedColumnFormula>Alimentação486174[[#This Row],[ALIMENTAÇÃO]]</calculatedColumnFormula>
    </tableColumn>
    <tableColumn id="2" xr3:uid="{5BE40918-BEBF-4607-AC08-38B3E6B4BDF4}" name="Custo " totalsRowFunction="custom" dataDxfId="275" totalsRowDxfId="274">
      <totalsRowFormula>SUM(Alimentação4861746193245588295108121[[Custo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26E686A3-7999-4DED-9526-3415A7E7392C}" name="Presentes4962757203346598396109122" displayName="Presentes4962757203346598396109122" ref="H72:I76" totalsRowCount="1" headerRowDxfId="273" dataDxfId="272" totalsRowDxfId="271">
  <autoFilter ref="H72:I75" xr:uid="{00000000-0009-0000-0100-000009000000}">
    <filterColumn colId="0" hiddenButton="1"/>
    <filterColumn colId="1" hiddenButton="1"/>
  </autoFilter>
  <tableColumns count="2">
    <tableColumn id="1" xr3:uid="{07EC7279-6DF8-4B13-9463-6A96662802CC}" name="PRESENTES E DOAÇÕES" totalsRowLabel="Subtotal" dataDxfId="270" totalsRowDxfId="269">
      <calculatedColumnFormula>Presentes496275[[#This Row],[PRESENTES E DOAÇÕES]]</calculatedColumnFormula>
    </tableColumn>
    <tableColumn id="2" xr3:uid="{F394A220-7BB4-4236-B967-18BC98F4696E}" name="Custo " totalsRowFunction="custom" dataDxfId="268" totalsRowDxfId="267">
      <totalsRowFormula>SUM(Presentes4962757203346598396109122[[Custo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CEE5221-8EA9-4FA3-A6BC-B69B7A71D364}" name="Animais_de_estimação5063768213447608497110123" displayName="Animais_de_estimação5063768213447608497110123" ref="H85:I91" totalsRowCount="1" headerRowDxfId="266" dataDxfId="265" totalsRowDxfId="264">
  <tableColumns count="2">
    <tableColumn id="1" xr3:uid="{C34A826E-8B90-43AB-A365-2C119665A3E6}" name="ANIMAIS DE ESTIMAÇÃO" totalsRowLabel="Subtotal" dataDxfId="263" totalsRowDxfId="262">
      <calculatedColumnFormula>Animais_de_estimação506376[[#This Row],[ANIMAIS DE ESTIMAÇÃO]]</calculatedColumnFormula>
    </tableColumn>
    <tableColumn id="2" xr3:uid="{1F6A4F55-D59A-48B1-954A-4DD235275EBE}" name="Custo " totalsRowFunction="custom" dataDxfId="261" totalsRowDxfId="260">
      <totalsRowFormula>SUM(Animais_de_estimação5063768213447608497110123[[Custo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4999B61-677B-44C0-9773-9F04FEC4FCE7}" name="Assessoria_jurídica5164779223548618598111124" displayName="Assessoria_jurídica5164779223548618598111124" ref="H78:I83" totalsRowCount="1" headerRowDxfId="259" dataDxfId="258" totalsRowDxfId="257">
  <tableColumns count="2">
    <tableColumn id="1" xr3:uid="{D14F6A0B-871E-4653-A57C-1158B20DE885}" name="ASSESSORIA JURÍDICA" totalsRowLabel="Subtotal" dataDxfId="256" totalsRowDxfId="255">
      <calculatedColumnFormula>Assessoria_jurídica516477[[#This Row],[ASSESSORIA JURÍDICA]]</calculatedColumnFormula>
    </tableColumn>
    <tableColumn id="2" xr3:uid="{E5BE734A-0ED8-4ADD-B6C2-BB30D6532157}" name="Custo " totalsRowFunction="custom" dataDxfId="254" totalsRowDxfId="253">
      <totalsRowFormula>SUM(Assessoria_jurídica5164779223548618598111124[[Custo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D42D052-6C9E-43AD-9900-9EB4DFB1E9F3}" name="Tabela1353667910233649628699112125" displayName="Tabela1353667910233649628699112125" ref="C34:R63" totalsRowShown="0" headerRowDxfId="252" dataDxfId="251" tableBorderDxfId="250" dataCellStyle="Título 2">
  <tableColumns count="16">
    <tableColumn id="1" xr3:uid="{CCCD6A3D-237E-46CD-9371-01E611C8D022}" name="Nome do paciente " dataDxfId="249" dataCellStyle="Título 2"/>
    <tableColumn id="2" xr3:uid="{63E9CCF5-755A-4CAB-8648-555245B012CD}" name="Telefone" dataDxfId="248" dataCellStyle="Título 2"/>
    <tableColumn id="3" xr3:uid="{2C281B7D-03AA-4438-BDD9-1B4D82919B6D}" name="Email" dataDxfId="247"/>
    <tableColumn id="4" xr3:uid="{74AFC117-7418-41E9-BE41-FE6C5502D2C1}" name="Total/mês" dataDxfId="246" dataCellStyle="Título 2">
      <calculatedColumnFormula>SUM(Tabela1353667910233649628699112125[[#This Row],[Valor cobrado por sessão]]*Tabela1353667910233649628699112125[[#This Row],[Número sessão/mês]])</calculatedColumnFormula>
    </tableColumn>
    <tableColumn id="5" xr3:uid="{E9BC9928-D592-4A98-AA2D-83020CF7E2A9}" name="Valor cobrado por sessão" dataDxfId="245" dataCellStyle="Título 2"/>
    <tableColumn id="6" xr3:uid="{C4B4D1C4-A104-40B7-875E-1018C8EBB8EA}" name="Número sessão/mês" dataDxfId="244" dataCellStyle="Título 2"/>
    <tableColumn id="7" xr3:uid="{84A9F429-34F1-46CD-AD40-C2FD7720AC76}" name="Semana 1" dataDxfId="243" dataCellStyle="Título 2"/>
    <tableColumn id="8" xr3:uid="{AB041BF8-2266-4FC0-8517-1F3A7D711BD4}" name="Pago" dataDxfId="242" dataCellStyle="Título 2"/>
    <tableColumn id="9" xr3:uid="{0F246D5E-E686-432D-8DA6-1296A1E59FB7}" name="Semana 2" dataDxfId="241" dataCellStyle="Título 2"/>
    <tableColumn id="10" xr3:uid="{608283A8-351B-469B-8E1C-CB29F9AB2452}" name="Pago2" dataDxfId="240" dataCellStyle="Título 2"/>
    <tableColumn id="11" xr3:uid="{ABD030EC-D1D2-4B5B-BDAF-27623A002E10}" name="Semana 3" dataDxfId="239" dataCellStyle="Título 2"/>
    <tableColumn id="12" xr3:uid="{2C7E5512-61B1-4753-A7E5-7442508B75A8}" name="Pago3" dataDxfId="238" dataCellStyle="Título 2"/>
    <tableColumn id="13" xr3:uid="{D308E828-A584-4A3A-A5D7-0BEA948B1B66}" name="Semana 4" dataDxfId="237" dataCellStyle="Título 2"/>
    <tableColumn id="14" xr3:uid="{30FA2FC8-F10C-4D6E-89D4-12D61F754734}" name="Pago4" dataDxfId="236" dataCellStyle="Título 2"/>
    <tableColumn id="15" xr3:uid="{660104ED-3CF0-48DA-A116-611DB6435898}" name="Semana 5" dataDxfId="235" dataCellStyle="Título 2"/>
    <tableColumn id="16" xr3:uid="{6F58ACC6-5901-43B9-960D-9337F8AA303E}" name="Pago5" dataDxfId="234" dataCellStyle="Título 2"/>
  </tableColumns>
  <tableStyleInfo name="TableStyleLight1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23B13727-7A08-4C5D-ACEA-174685191A6A}" name="Poupança476073236112437506387100113126" displayName="Poupança476073236112437506387100113126" ref="E102:F108" totalsRowCount="1" headerRowDxfId="233" dataDxfId="232" totalsRowDxfId="231">
  <tableColumns count="2">
    <tableColumn id="1" xr3:uid="{44FB3858-BF06-4A05-8134-68AD4286E3F6}" name="POUPANÇAS OU INVESTIMENTOS" totalsRowLabel="Subtotal" dataDxfId="230" totalsRowDxfId="229">
      <calculatedColumnFormula>Poupança476073236[[#This Row],[POUPANÇAS OU INVESTIMENTOS]]</calculatedColumnFormula>
    </tableColumn>
    <tableColumn id="2" xr3:uid="{1135E4D9-42ED-4C9B-84D3-5043D635BFCB}" name="Custo " totalsRowFunction="custom" dataDxfId="228" totalsRowDxfId="227">
      <totalsRowFormula>SUM(Poupança476073236112437506387100113126[[Custo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7C49A0C7-00FC-40F4-9150-F855F8E5BEA5}" name="Empréstimos435669122538516488101114127" displayName="Empréstimos435669122538516488101114127" ref="H93:I100" totalsRowCount="1" headerRowDxfId="226" dataDxfId="225" totalsRowDxfId="224">
  <tableColumns count="2">
    <tableColumn id="1" xr3:uid="{FD63D5C9-0CEB-4891-BFFA-59090FBFDD27}" name="EMPRÉSTIMOS" totalsRowLabel="Subtotal" dataDxfId="223" totalsRowDxfId="222">
      <calculatedColumnFormula>Empréstimos435669[[#This Row],[EMPRÉSTIMOS]]</calculatedColumnFormula>
    </tableColumn>
    <tableColumn id="2" xr3:uid="{DFA2C8C3-8245-41EF-BB5D-2807FA20944E}" name="Custo " totalsRowFunction="custom" dataDxfId="221" totalsRowDxfId="220">
      <totalsRowFormula>SUM(Empréstimos435669122538516488101114127[[Custo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74020C1-6280-4C2E-993A-0A3FAB7C7056}" name="Impostos465972" displayName="Impostos465972" ref="H102:I107" totalsRowCount="1" headerRowDxfId="1146" dataDxfId="1145" totalsRowDxfId="1144">
  <tableColumns count="2">
    <tableColumn id="1" xr3:uid="{EFCD7FA7-5C1C-40EF-8BBD-99684BF66329}" name="IMPOSTOS" totalsRowLabel="Subtotal" dataDxfId="1143" totalsRowDxfId="1142"/>
    <tableColumn id="2" xr3:uid="{0B093DD4-714E-4D21-A210-D77AB96A750D}" name="Custo " totalsRowFunction="custom" dataDxfId="1141" totalsRowDxfId="1140">
      <totalsRowFormula>SUM(Impostos465972[[Custo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1729CD0B-4D54-48BA-A3D9-0A4492536745}" name="Impostos465972132639526589102115128" displayName="Impostos465972132639526589102115128" ref="H102:I107" totalsRowCount="1" headerRowDxfId="219" dataDxfId="218" totalsRowDxfId="217">
  <tableColumns count="2">
    <tableColumn id="1" xr3:uid="{38EAFE6E-DB7C-43E3-82BA-3EA5424E9CCD}" name="IMPOSTOS" totalsRowLabel="Subtotal" dataDxfId="216" totalsRowDxfId="215">
      <calculatedColumnFormula>Impostos465972[[#This Row],[IMPOSTOS]]</calculatedColumnFormula>
    </tableColumn>
    <tableColumn id="2" xr3:uid="{9FF17C88-BD8F-4AA4-BFE5-9D30F2B9B108}" name="Custo " totalsRowFunction="custom" dataDxfId="214" totalsRowDxfId="213">
      <totalsRowFormula>SUM(Impostos465972132639526589102115128[[Custo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D5846E57-E674-47A5-A26C-10414B57E986}" name="CuidadosPessoais526578241142740536690103116129" displayName="CuidadosPessoais526578241142740536690103116129" ref="E85:F100" totalsRowCount="1" headerRowDxfId="212" dataDxfId="211" totalsRowDxfId="210">
  <tableColumns count="2">
    <tableColumn id="1" xr3:uid="{B24DF2FB-2F50-4EF3-A3CA-9773B1E2FBFC}" name="CUIDADOS PESSOAIS" totalsRowLabel="Subtotal" dataDxfId="209" totalsRowDxfId="208">
      <calculatedColumnFormula>CuidadosPessoais526578241[[#This Row],[CUIDADOS PESSOAIS]]</calculatedColumnFormula>
    </tableColumn>
    <tableColumn id="2" xr3:uid="{6367ED6D-9D61-41AA-AE90-5A8BB1FB475A}" name="Custo " totalsRowFunction="custom" dataDxfId="207" totalsRowDxfId="206">
      <totalsRowFormula>SUM(CuidadosPessoais526578241142740536690103116129[[Custo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EDBF6DC3-BDB8-40FA-8F7F-7A7BC7CC0701}" name="Moradia4154672152841547391104117130" displayName="Moradia4154672152841547391104117130" ref="B72:C83" totalsRowCount="1" headerRowDxfId="205" dataDxfId="204" totalsRowDxfId="203">
  <tableColumns count="2">
    <tableColumn id="1" xr3:uid="{01023CE8-77F3-44B9-B867-F43DB04DAEF2}" name="MORADIA" totalsRowLabel="Subtotal" dataDxfId="202" totalsRowDxfId="201">
      <calculatedColumnFormula>Moradia415467[[#This Row],[MORADIA]]</calculatedColumnFormula>
    </tableColumn>
    <tableColumn id="2" xr3:uid="{D8C70863-EF18-475D-814B-635B87F64F8B}" name="Custo " totalsRowFunction="custom" dataDxfId="200" totalsRowDxfId="199">
      <totalsRowFormula>SUM(Moradia4154672152841547391104117130[[Custo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997DF1F4-F459-426A-9BBF-5DE3052D7CFB}" name="Entretenimento4255683162942557892105118131" displayName="Entretenimento4255683162942557892105118131" ref="E72:F83" totalsRowCount="1" headerRowDxfId="198" dataDxfId="197" totalsRowDxfId="196">
  <tableColumns count="2">
    <tableColumn id="1" xr3:uid="{37A3DD2F-F480-45CE-82CB-C5B24F39B6ED}" name="ENTRETENIMENTO" totalsRowLabel="Subtotal" dataDxfId="195" totalsRowDxfId="194">
      <calculatedColumnFormula>Entretenimento425568[[#This Row],[ENTRETENIMENTO]]</calculatedColumnFormula>
    </tableColumn>
    <tableColumn id="3" xr3:uid="{9AB1D15C-BD4C-47F2-952B-7705928FF9B4}" name="Custo " totalsRowFunction="custom" dataDxfId="193" totalsRowDxfId="192">
      <totalsRowFormula>SUM(Entretenimento4255683162942557892105118131[[Custo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CFCD5A1A-BBF1-4AEA-91F5-2EC4DDDB9F34}" name="Transporte4457704173043568093106119132" displayName="Transporte4457704173043568093106119132" ref="B85:C93" totalsRowCount="1" headerRowDxfId="191" dataDxfId="190" totalsRowDxfId="189">
  <tableColumns count="2">
    <tableColumn id="1" xr3:uid="{5D41FB2E-CF33-41AA-88D5-E176A557D500}" name="TRANSPORTE" totalsRowLabel="Subtotal" dataDxfId="188" totalsRowDxfId="187">
      <calculatedColumnFormula>Transporte445770[[#This Row],[TRANSPORTE]]</calculatedColumnFormula>
    </tableColumn>
    <tableColumn id="2" xr3:uid="{177B474C-38B2-4E54-841C-373BECBBD56F}" name="Custo " totalsRowFunction="custom" dataDxfId="186" totalsRowDxfId="185">
      <totalsRowFormula>SUM(Transporte4457704173043568093106119132[[Custo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82C54EA0-9108-4118-BDC3-712A80A1FEE9}" name="Seguro4558715183144578194107120133" displayName="Seguro4558715183144578194107120133" ref="B95:C100" totalsRowCount="1" headerRowDxfId="184" dataDxfId="183" totalsRowDxfId="182">
  <tableColumns count="2">
    <tableColumn id="1" xr3:uid="{C3934E21-74A3-4214-B794-3702F2EECFC4}" name="SEGURO" totalsRowLabel="Subtotal" dataDxfId="181" totalsRowDxfId="180">
      <calculatedColumnFormula>Seguro455871[[#This Row],[SEGURO]]</calculatedColumnFormula>
    </tableColumn>
    <tableColumn id="2" xr3:uid="{660867C4-6D1E-4968-9C8F-8A4F9D796A05}" name="Custo " totalsRowFunction="custom" dataDxfId="179" totalsRowDxfId="178">
      <totalsRowFormula>SUM(Seguro4558715183144578194107120133[[Custo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8E37A2C0-7BD9-4FF9-A86D-33B71724CAC1}" name="Alimentação4861746193245588295108121134" displayName="Alimentação4861746193245588295108121134" ref="B102:C108" totalsRowCount="1" headerRowDxfId="177" dataDxfId="176" totalsRowDxfId="175">
  <tableColumns count="2">
    <tableColumn id="1" xr3:uid="{2791C672-C815-4A8A-B521-17AD070ABC03}" name="ALIMENTAÇÃO" totalsRowLabel="Subtotal" dataDxfId="174" totalsRowDxfId="173">
      <calculatedColumnFormula>Alimentação486174[[#This Row],[ALIMENTAÇÃO]]</calculatedColumnFormula>
    </tableColumn>
    <tableColumn id="2" xr3:uid="{9454A61E-1A42-4440-84A4-AA6C817EA6EA}" name="Custo " totalsRowFunction="custom" dataDxfId="172" totalsRowDxfId="171">
      <totalsRowFormula>SUM(Alimentação4861746193245588295108121134[[Custo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4F044E89-658A-4095-A31D-35603DB65856}" name="Presentes4962757203346598396109122135" displayName="Presentes4962757203346598396109122135" ref="H72:I76" totalsRowCount="1" headerRowDxfId="170" dataDxfId="169" totalsRowDxfId="168">
  <autoFilter ref="H72:I75" xr:uid="{00000000-0009-0000-0100-000009000000}">
    <filterColumn colId="0" hiddenButton="1"/>
    <filterColumn colId="1" hiddenButton="1"/>
  </autoFilter>
  <tableColumns count="2">
    <tableColumn id="1" xr3:uid="{4AB7816A-6168-43D9-9A96-414C321D50A4}" name="PRESENTES E DOAÇÕES" totalsRowLabel="Subtotal" dataDxfId="167" totalsRowDxfId="166">
      <calculatedColumnFormula>Presentes496275[[#This Row],[PRESENTES E DOAÇÕES]]</calculatedColumnFormula>
    </tableColumn>
    <tableColumn id="2" xr3:uid="{EC4E2502-1068-47AD-90B7-E64BB90A16DB}" name="Custo " totalsRowFunction="custom" dataDxfId="165" totalsRowDxfId="164">
      <totalsRowFormula>SUM(Presentes4962757203346598396109122135[[Custo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8B028732-B557-4767-8A51-59F5631D4FF1}" name="Animais_de_estimação5063768213447608497110123136" displayName="Animais_de_estimação5063768213447608497110123136" ref="H85:I91" totalsRowCount="1" headerRowDxfId="163" dataDxfId="162" totalsRowDxfId="161">
  <tableColumns count="2">
    <tableColumn id="1" xr3:uid="{22695231-8402-45E8-A3CB-1FABF164CF23}" name="ANIMAIS DE ESTIMAÇÃO" totalsRowLabel="Subtotal" dataDxfId="160" totalsRowDxfId="159">
      <calculatedColumnFormula>Animais_de_estimação506376[[#This Row],[ANIMAIS DE ESTIMAÇÃO]]</calculatedColumnFormula>
    </tableColumn>
    <tableColumn id="2" xr3:uid="{98E7EC80-A64C-405C-A62A-2C18AED915FC}" name="Custo " totalsRowFunction="custom" dataDxfId="158" totalsRowDxfId="157">
      <totalsRowFormula>SUM(Animais_de_estimação5063768213447608497110123136[[Custo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A1909A85-1417-4C70-8B1E-6BC9E2A93BB7}" name="Assessoria_jurídica5164779223548618598111124137" displayName="Assessoria_jurídica5164779223548618598111124137" ref="H78:I83" totalsRowCount="1" headerRowDxfId="156" dataDxfId="155" totalsRowDxfId="154">
  <tableColumns count="2">
    <tableColumn id="1" xr3:uid="{1F344FF3-E51A-408F-95CF-C41D785E31AA}" name="ASSESSORIA JURÍDICA" totalsRowLabel="Subtotal" dataDxfId="153" totalsRowDxfId="152">
      <calculatedColumnFormula>Assessoria_jurídica516477[[#This Row],[ASSESSORIA JURÍDICA]]</calculatedColumnFormula>
    </tableColumn>
    <tableColumn id="2" xr3:uid="{C872973E-0CEB-4B8D-A361-49326F57FA6C}" name="Custo " totalsRowFunction="custom" dataDxfId="151" totalsRowDxfId="150">
      <totalsRowFormula>SUM(Assessoria_jurídica5164779223548618598111124137[[Custo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FC955927-DC50-4389-A9B7-51E8593822D0}" name="CuidadosPessoais526578241" displayName="CuidadosPessoais526578241" ref="E85:F100" totalsRowCount="1" headerRowDxfId="1139" dataDxfId="1138" totalsRowDxfId="1137">
  <tableColumns count="2">
    <tableColumn id="1" xr3:uid="{A82C4D83-81C1-4D19-B864-D1EA836514F1}" name="CUIDADOS PESSOAIS" totalsRowLabel="Subtotal" dataDxfId="1136" totalsRowDxfId="1135"/>
    <tableColumn id="2" xr3:uid="{54890C00-0B9E-4C06-93E0-40979DE5E40F}" name="Custo " totalsRowFunction="custom" dataDxfId="1134" totalsRowDxfId="1133">
      <totalsRowFormula>SUM(CuidadosPessoais526578241[[Custo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EB4F9F3F-F88F-4F66-9BE6-5B064F9EB441}" name="Tabela1353667910233649628699112125138" displayName="Tabela1353667910233649628699112125138" ref="C34:R63" totalsRowShown="0" headerRowDxfId="149" dataDxfId="148" tableBorderDxfId="147" dataCellStyle="Título 2">
  <tableColumns count="16">
    <tableColumn id="1" xr3:uid="{E9A67FE7-E1EC-4EFB-93B3-17A89BEFB2A1}" name="Nome do paciente " dataDxfId="146" dataCellStyle="Título 2"/>
    <tableColumn id="2" xr3:uid="{0C2184D0-F6C4-493D-BCEA-78E7295E19A9}" name="Telefone" dataDxfId="145" dataCellStyle="Título 2"/>
    <tableColumn id="3" xr3:uid="{D8C535D8-B7CC-484D-AAEC-D0382B242961}" name="Email" dataDxfId="144"/>
    <tableColumn id="4" xr3:uid="{E2E9E8A1-27A9-4888-9882-7AC63B510241}" name="Total/mês" dataDxfId="143" dataCellStyle="Título 2">
      <calculatedColumnFormula>SUM(Tabela1353667910233649628699112125138[[#This Row],[Valor cobrado por sessão]]*Tabela1353667910233649628699112125138[[#This Row],[Número sessão/mês]])</calculatedColumnFormula>
    </tableColumn>
    <tableColumn id="5" xr3:uid="{15E21679-4A40-4699-9436-1D21458C3FA5}" name="Valor cobrado por sessão" dataDxfId="142" dataCellStyle="Título 2"/>
    <tableColumn id="6" xr3:uid="{4C364D43-94AE-4B46-A812-8D385BCEA876}" name="Número sessão/mês" dataDxfId="141" dataCellStyle="Título 2"/>
    <tableColumn id="7" xr3:uid="{4AF0F144-F037-4A64-91E5-715CCAD95100}" name="Semana 1" dataDxfId="140" dataCellStyle="Título 2"/>
    <tableColumn id="8" xr3:uid="{FDD5EE78-88AD-4C7B-82EF-D33BD66E2E7D}" name="Pago" dataDxfId="139" dataCellStyle="Título 2"/>
    <tableColumn id="9" xr3:uid="{59160AA5-1B20-422C-883F-05B08D32D2E6}" name="Semana 2" dataDxfId="138" dataCellStyle="Título 2"/>
    <tableColumn id="10" xr3:uid="{6589CD91-E0F7-49A6-835E-4713AFD1AB4E}" name="Pago2" dataDxfId="137" dataCellStyle="Título 2"/>
    <tableColumn id="11" xr3:uid="{81000D9A-FAE3-48B6-87AA-E1841FDA3B97}" name="Semana 3" dataDxfId="136" dataCellStyle="Título 2"/>
    <tableColumn id="12" xr3:uid="{B73B6A3D-0F07-4F79-9C17-3C17C7BD65FD}" name="Pago3" dataDxfId="135" dataCellStyle="Título 2"/>
    <tableColumn id="13" xr3:uid="{0DF7A926-74BE-4B67-86A3-8BC6D17C5E96}" name="Semana 4" dataDxfId="134" dataCellStyle="Título 2"/>
    <tableColumn id="14" xr3:uid="{5880B45C-68DB-4FCE-82E7-810582C5AB8A}" name="Pago4" dataDxfId="133" dataCellStyle="Título 2"/>
    <tableColumn id="15" xr3:uid="{D005C474-C23B-4409-A446-F5B7C27372AC}" name="Semana 5" dataDxfId="132" dataCellStyle="Título 2"/>
    <tableColumn id="16" xr3:uid="{0066FB6B-BBF0-4754-B8B1-318ED9763A6C}" name="Pago5" dataDxfId="131" dataCellStyle="Título 2"/>
  </tableColumns>
  <tableStyleInfo name="TableStyleLight1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3CE4BDC0-E732-4189-AA37-FB415872E5C4}" name="Poupança476073236112437506387100113126139" displayName="Poupança476073236112437506387100113126139" ref="E102:F108" totalsRowCount="1" headerRowDxfId="130" dataDxfId="129" totalsRowDxfId="128">
  <tableColumns count="2">
    <tableColumn id="1" xr3:uid="{4BAA6A8A-775D-4930-B321-FF73CB886F85}" name="POUPANÇAS OU INVESTIMENTOS" totalsRowLabel="Subtotal" dataDxfId="127" totalsRowDxfId="126">
      <calculatedColumnFormula>Poupança476073236[[#This Row],[POUPANÇAS OU INVESTIMENTOS]]</calculatedColumnFormula>
    </tableColumn>
    <tableColumn id="2" xr3:uid="{D2C6D898-2684-44B7-A144-5116386A97CF}" name="Custo " totalsRowFunction="custom" dataDxfId="125" totalsRowDxfId="124">
      <totalsRowFormula>SUM(Poupança476073236112437506387100113126139[[Custo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CA681DB3-9B0C-47AD-98CE-DAB09D686B77}" name="Empréstimos435669122538516488101114127140" displayName="Empréstimos435669122538516488101114127140" ref="H93:I100" totalsRowCount="1" headerRowDxfId="123" dataDxfId="122" totalsRowDxfId="121">
  <tableColumns count="2">
    <tableColumn id="1" xr3:uid="{2E2DC65E-1373-4184-AFE5-A248A4002B32}" name="EMPRÉSTIMOS" totalsRowLabel="Subtotal" dataDxfId="120" totalsRowDxfId="119">
      <calculatedColumnFormula>Empréstimos435669[[#This Row],[EMPRÉSTIMOS]]</calculatedColumnFormula>
    </tableColumn>
    <tableColumn id="2" xr3:uid="{A9E94EF9-FE4A-452E-8908-3F51037316CE}" name="Custo " totalsRowFunction="custom" dataDxfId="118" totalsRowDxfId="117">
      <totalsRowFormula>SUM(Empréstimos435669122538516488101114127140[[Custo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78F32110-062F-4BD1-8E7C-1B26A6175906}" name="Impostos465972132639526589102115128141" displayName="Impostos465972132639526589102115128141" ref="H102:I107" totalsRowCount="1" headerRowDxfId="116" dataDxfId="115" totalsRowDxfId="114">
  <tableColumns count="2">
    <tableColumn id="1" xr3:uid="{FFB408CD-40B5-4EBC-8667-3DBD69A8F099}" name="IMPOSTOS" totalsRowLabel="Subtotal" dataDxfId="113" totalsRowDxfId="112">
      <calculatedColumnFormula>Impostos465972[[#This Row],[IMPOSTOS]]</calculatedColumnFormula>
    </tableColumn>
    <tableColumn id="2" xr3:uid="{9DF7A560-762B-4A1C-B01F-DA8DDBDC4427}" name="Custo " totalsRowFunction="custom" dataDxfId="111" totalsRowDxfId="110">
      <totalsRowFormula>SUM(Impostos465972132639526589102115128141[[Custo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FE6AE7F-5D64-4CEE-AA27-EFE307B39AB1}" name="CuidadosPessoais526578241142740536690103116129142" displayName="CuidadosPessoais526578241142740536690103116129142" ref="E85:F100" totalsRowCount="1" headerRowDxfId="109" dataDxfId="108" totalsRowDxfId="107">
  <tableColumns count="2">
    <tableColumn id="1" xr3:uid="{BAC12CF6-CC68-4DB4-B354-20B6470FFA6A}" name="CUIDADOS PESSOAIS" totalsRowLabel="Subtotal" dataDxfId="106" totalsRowDxfId="105">
      <calculatedColumnFormula>CuidadosPessoais526578241[[#This Row],[CUIDADOS PESSOAIS]]</calculatedColumnFormula>
    </tableColumn>
    <tableColumn id="2" xr3:uid="{3FDC6324-6DA5-4685-8C73-76A9E0BE9766}" name="Custo " totalsRowFunction="custom" dataDxfId="104" totalsRowDxfId="103">
      <totalsRowFormula>SUM(CuidadosPessoais526578241142740536690103116129142[[Custo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79EA2E97-6606-46BC-8983-8D660D918591}" name="Moradia4154672152841547391104117130143" displayName="Moradia4154672152841547391104117130143" ref="B72:C83" totalsRowCount="1" headerRowDxfId="102" dataDxfId="101" totalsRowDxfId="100">
  <tableColumns count="2">
    <tableColumn id="1" xr3:uid="{5CEAB7A6-6485-403D-9197-3C5EC0EAAC4A}" name="MORADIA" totalsRowLabel="Subtotal" dataDxfId="99" totalsRowDxfId="98">
      <calculatedColumnFormula>Moradia415467[[#This Row],[MORADIA]]</calculatedColumnFormula>
    </tableColumn>
    <tableColumn id="2" xr3:uid="{F7384B5D-4AB5-409D-A07D-F1B0B176AB60}" name="Custo " totalsRowFunction="custom" dataDxfId="97" totalsRowDxfId="96">
      <totalsRowFormula>SUM(Moradia4154672152841547391104117130143[[Custo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FBBE361E-214E-46AF-A8E0-611E78E0E1CF}" name="Entretenimento4255683162942557892105118131144" displayName="Entretenimento4255683162942557892105118131144" ref="E72:F83" totalsRowCount="1" headerRowDxfId="95" dataDxfId="94" totalsRowDxfId="93">
  <tableColumns count="2">
    <tableColumn id="1" xr3:uid="{6911FAD5-3E3F-4519-B9E8-45D46BEBE65D}" name="ENTRETENIMENTO" totalsRowLabel="Subtotal" dataDxfId="92" totalsRowDxfId="91">
      <calculatedColumnFormula>Entretenimento425568[[#This Row],[ENTRETENIMENTO]]</calculatedColumnFormula>
    </tableColumn>
    <tableColumn id="3" xr3:uid="{CF5A4EC4-993D-40E8-8E05-90785826F455}" name="Custo " totalsRowFunction="custom" dataDxfId="90" totalsRowDxfId="89">
      <totalsRowFormula>SUM(Entretenimento4255683162942557892105118131144[[Custo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BEC260AC-9A8D-4EB2-9271-5398872B5821}" name="Transporte4457704173043568093106119132145" displayName="Transporte4457704173043568093106119132145" ref="B85:C93" totalsRowCount="1" headerRowDxfId="88" dataDxfId="87" totalsRowDxfId="86">
  <tableColumns count="2">
    <tableColumn id="1" xr3:uid="{3C04A215-1B37-43F8-88E8-F6A4054E56C2}" name="TRANSPORTE" totalsRowLabel="Subtotal" dataDxfId="85" totalsRowDxfId="84">
      <calculatedColumnFormula>Transporte445770[[#This Row],[TRANSPORTE]]</calculatedColumnFormula>
    </tableColumn>
    <tableColumn id="2" xr3:uid="{6ECF6332-41BD-4CDB-9FEB-A58F9FCA5CBD}" name="Custo " totalsRowFunction="custom" dataDxfId="83" totalsRowDxfId="82">
      <totalsRowFormula>SUM(Transporte4457704173043568093106119132145[[Custo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8B5196F-30B9-4C59-B198-0FF4A89E99BB}" name="Seguro4558715183144578194107120133146" displayName="Seguro4558715183144578194107120133146" ref="B95:C100" totalsRowCount="1" headerRowDxfId="81" dataDxfId="80" totalsRowDxfId="79">
  <tableColumns count="2">
    <tableColumn id="1" xr3:uid="{1CFC6AE9-1EF9-4D63-8128-93C84412A745}" name="SEGURO" totalsRowLabel="Subtotal" dataDxfId="78" totalsRowDxfId="77">
      <calculatedColumnFormula>Seguro455871[[#This Row],[SEGURO]]</calculatedColumnFormula>
    </tableColumn>
    <tableColumn id="2" xr3:uid="{F923191A-D177-41BC-A704-6FCEA21D9077}" name="Custo " totalsRowFunction="custom" dataDxfId="76" totalsRowDxfId="75">
      <totalsRowFormula>SUM(Seguro4558715183144578194107120133146[[Custo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22D386DD-080D-40D6-90B9-2C83DCF12C98}" name="Alimentação4861746193245588295108121134147" displayName="Alimentação4861746193245588295108121134147" ref="B102:C108" totalsRowCount="1" headerRowDxfId="74" dataDxfId="73" totalsRowDxfId="72">
  <tableColumns count="2">
    <tableColumn id="1" xr3:uid="{0EBBBF65-C6D9-45A6-A597-C4592649677E}" name="ALIMENTAÇÃO" totalsRowLabel="Subtotal" dataDxfId="71" totalsRowDxfId="70">
      <calculatedColumnFormula>Alimentação486174[[#This Row],[ALIMENTAÇÃO]]</calculatedColumnFormula>
    </tableColumn>
    <tableColumn id="2" xr3:uid="{30E64E4E-1E5F-471D-A557-7E6F3C169D75}" name="Custo " totalsRowFunction="custom" dataDxfId="69" totalsRowDxfId="68">
      <totalsRowFormula>SUM(Alimentação4861746193245588295108121134147[[Custo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58E409-E09F-4EBC-94B4-5D2B4F1DA55A}" name="Moradia4154672" displayName="Moradia4154672" ref="B72:C83" totalsRowCount="1" headerRowDxfId="1132" dataDxfId="1131" totalsRowDxfId="1130">
  <tableColumns count="2">
    <tableColumn id="1" xr3:uid="{4EC46BE5-ABED-4D7F-9F5B-DB64CF626F59}" name="MORADIA" totalsRowLabel="Subtotal" dataDxfId="1129" totalsRowDxfId="1128"/>
    <tableColumn id="2" xr3:uid="{6E4E291D-8D32-4BC5-B9A1-06B615EF7515}" name="Custo " totalsRowFunction="custom" dataDxfId="1127" totalsRowDxfId="1126">
      <totalsRowFormula>SUM(Moradia4154672[[Custo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D0657B9D-9E30-42BD-BFCF-3DFC639E1E86}" name="Presentes4962757203346598396109122135148" displayName="Presentes4962757203346598396109122135148" ref="H72:I76" totalsRowCount="1" headerRowDxfId="67" dataDxfId="66" totalsRowDxfId="65">
  <autoFilter ref="H72:I75" xr:uid="{00000000-0009-0000-0100-000009000000}">
    <filterColumn colId="0" hiddenButton="1"/>
    <filterColumn colId="1" hiddenButton="1"/>
  </autoFilter>
  <tableColumns count="2">
    <tableColumn id="1" xr3:uid="{6414B980-560D-4EC6-9169-7EA4180012D1}" name="PRESENTES E DOAÇÕES" totalsRowLabel="Subtotal" dataDxfId="64" totalsRowDxfId="63">
      <calculatedColumnFormula>Presentes496275[[#This Row],[PRESENTES E DOAÇÕES]]</calculatedColumnFormula>
    </tableColumn>
    <tableColumn id="2" xr3:uid="{18C261EA-0460-4E07-870E-E2E725CC8BB3}" name="Custo " totalsRowFunction="custom" dataDxfId="62" totalsRowDxfId="61">
      <totalsRowFormula>SUM(Presentes4962757203346598396109122135148[[Custo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30BAF01-55F0-401A-B7A5-D5BBDEF01DB9}" name="Animais_de_estimação5063768213447608497110123136149" displayName="Animais_de_estimação5063768213447608497110123136149" ref="H85:I91" totalsRowCount="1" headerRowDxfId="60" dataDxfId="59" totalsRowDxfId="58">
  <tableColumns count="2">
    <tableColumn id="1" xr3:uid="{320B8470-E7CA-4324-A6EA-E66BC597681D}" name="ANIMAIS DE ESTIMAÇÃO" totalsRowLabel="Subtotal" dataDxfId="57" totalsRowDxfId="56">
      <calculatedColumnFormula>Animais_de_estimação506376[[#This Row],[ANIMAIS DE ESTIMAÇÃO]]</calculatedColumnFormula>
    </tableColumn>
    <tableColumn id="2" xr3:uid="{862CA0C0-2010-4F26-A31F-DBF2356BA972}" name="Custo " totalsRowFunction="custom" dataDxfId="55" totalsRowDxfId="54">
      <totalsRowFormula>SUM(Animais_de_estimação5063768213447608497110123136149[[Custo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6E3D0268-1063-4FD9-8327-B39B4617ACF6}" name="Assessoria_jurídica5164779223548618598111124137150" displayName="Assessoria_jurídica5164779223548618598111124137150" ref="H78:I83" totalsRowCount="1" headerRowDxfId="53" dataDxfId="52" totalsRowDxfId="51">
  <tableColumns count="2">
    <tableColumn id="1" xr3:uid="{2D21721E-5B51-4991-B1A5-F8004842BC90}" name="ASSESSORIA JURÍDICA" totalsRowLabel="Subtotal" dataDxfId="50" totalsRowDxfId="49">
      <calculatedColumnFormula>Assessoria_jurídica516477[[#This Row],[ASSESSORIA JURÍDICA]]</calculatedColumnFormula>
    </tableColumn>
    <tableColumn id="2" xr3:uid="{D06555A1-C143-4FAA-807B-CC92161DB0AA}" name="Custo " totalsRowFunction="custom" dataDxfId="48" totalsRowDxfId="47">
      <totalsRowFormula>SUM(Assessoria_jurídica5164779223548618598111124137150[[Custo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FF75473B-6425-46CD-95B3-1B898FB1F3DA}" name="Tabela1353667910233649628699112125138151" displayName="Tabela1353667910233649628699112125138151" ref="C34:R63" totalsRowShown="0" headerRowDxfId="46" dataDxfId="45" tableBorderDxfId="44" dataCellStyle="Título 2">
  <tableColumns count="16">
    <tableColumn id="1" xr3:uid="{D02E31D4-DD7A-4BC5-8DD6-1DA3E8464C6B}" name="Nome do paciente " dataDxfId="43" dataCellStyle="Título 2"/>
    <tableColumn id="2" xr3:uid="{3E0EF400-B0F6-4367-9BD2-DDA10AA2B9DB}" name="Telefone" dataDxfId="42" dataCellStyle="Título 2"/>
    <tableColumn id="3" xr3:uid="{C263D181-DD5B-4592-AB82-23B5965219A5}" name="Email" dataDxfId="41"/>
    <tableColumn id="4" xr3:uid="{28426CF7-C315-4607-94AA-950B21738BDF}" name="Total/mês" dataDxfId="40" dataCellStyle="Título 2">
      <calculatedColumnFormula>SUM(Tabela1353667910233649628699112125138151[[#This Row],[Valor cobrado por sessão]]*Tabela1353667910233649628699112125138151[[#This Row],[Número sessão/mês]])</calculatedColumnFormula>
    </tableColumn>
    <tableColumn id="5" xr3:uid="{8407A825-ADF8-408F-A2A8-55E314DA9F85}" name="Valor cobrado por sessão" dataDxfId="39" dataCellStyle="Título 2"/>
    <tableColumn id="6" xr3:uid="{35704295-A6B0-4B60-8E00-48EAECF81E6D}" name="Número sessão/mês" dataDxfId="38" dataCellStyle="Título 2"/>
    <tableColumn id="7" xr3:uid="{380525EE-9605-42DE-824A-5C0DF29329C1}" name="Semana 1" dataDxfId="37" dataCellStyle="Título 2"/>
    <tableColumn id="8" xr3:uid="{FF6139FA-6DC5-438C-8A3E-130FF52523A3}" name="Pago" dataDxfId="36" dataCellStyle="Título 2"/>
    <tableColumn id="9" xr3:uid="{9B531B43-73E4-4DCC-8C39-6EB7D9FA8455}" name="Semana 2" dataDxfId="35" dataCellStyle="Título 2"/>
    <tableColumn id="10" xr3:uid="{7097451C-8092-4AD3-8D6B-757AA36B2AF4}" name="Pago2" dataDxfId="34" dataCellStyle="Título 2"/>
    <tableColumn id="11" xr3:uid="{7AF72754-26C1-4519-89A9-E9450BC32B0F}" name="Semana 3" dataDxfId="33" dataCellStyle="Título 2"/>
    <tableColumn id="12" xr3:uid="{7298B731-2E2F-429A-809F-98CB39E37B8B}" name="Pago3" dataDxfId="32" dataCellStyle="Título 2"/>
    <tableColumn id="13" xr3:uid="{9E8AE3A6-7673-4E1D-82E7-6D6FC323600C}" name="Semana 4" dataDxfId="31" dataCellStyle="Título 2"/>
    <tableColumn id="14" xr3:uid="{DF107328-130F-4538-AD50-434F21428528}" name="Pago4" dataDxfId="30" dataCellStyle="Título 2"/>
    <tableColumn id="15" xr3:uid="{712F89FB-959A-4CD7-84C5-0CC2B41B65CB}" name="Semana 5" dataDxfId="29" dataCellStyle="Título 2"/>
    <tableColumn id="16" xr3:uid="{C3BF4940-C965-4FE7-8A26-F6F2B307F440}" name="Pago5" dataDxfId="28" dataCellStyle="Título 2"/>
  </tableColumns>
  <tableStyleInfo name="TableStyleLight1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4A9478CF-4D54-4457-AF21-165A2DEB15A5}" name="Poupança476073236112437506387100113126139152" displayName="Poupança476073236112437506387100113126139152" ref="E102:F108" totalsRowCount="1" headerRowDxfId="27" dataDxfId="26" totalsRowDxfId="25">
  <tableColumns count="2">
    <tableColumn id="1" xr3:uid="{A5B3E7FD-62D4-4263-8466-44A20D468C93}" name="POUPANÇAS OU INVESTIMENTOS" totalsRowLabel="Subtotal" dataDxfId="24" totalsRowDxfId="23">
      <calculatedColumnFormula>Poupança476073236[[#This Row],[POUPANÇAS OU INVESTIMENTOS]]</calculatedColumnFormula>
    </tableColumn>
    <tableColumn id="2" xr3:uid="{34E06681-2FD2-49D1-AB74-AD0430B75D73}" name="Custo " totalsRowFunction="custom" dataDxfId="22" totalsRowDxfId="21">
      <totalsRowFormula>SUM(Poupança476073236112437506387100113126139152[[Custo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DB4DE448-6314-4B1C-8E2D-2B048D8D4C14}" name="Empréstimos435669122538516488101114127140153" displayName="Empréstimos435669122538516488101114127140153" ref="H93:I100" totalsRowCount="1" headerRowDxfId="20" dataDxfId="19" totalsRowDxfId="18">
  <tableColumns count="2">
    <tableColumn id="1" xr3:uid="{A2E08ED8-DF40-49EE-9089-DFA04852369B}" name="EMPRÉSTIMOS" totalsRowLabel="Subtotal" dataDxfId="17" totalsRowDxfId="16">
      <calculatedColumnFormula>Empréstimos435669[[#This Row],[EMPRÉSTIMOS]]</calculatedColumnFormula>
    </tableColumn>
    <tableColumn id="2" xr3:uid="{B4DDA835-FDE9-45A1-8BE4-C540738DB03F}" name="Custo " totalsRowFunction="custom" dataDxfId="15" totalsRowDxfId="14">
      <totalsRowFormula>SUM(Empréstimos435669122538516488101114127140153[[Custo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FCAC9CEE-39A7-4F27-8567-FB09A0FBED58}" name="Impostos465972132639526589102115128141154" displayName="Impostos465972132639526589102115128141154" ref="H102:I107" totalsRowCount="1" headerRowDxfId="13" dataDxfId="12" totalsRowDxfId="11">
  <tableColumns count="2">
    <tableColumn id="1" xr3:uid="{A87D2AC5-49F3-4D1C-9D7A-C4CC96A69BE1}" name="IMPOSTOS" totalsRowLabel="Subtotal" dataDxfId="10" totalsRowDxfId="9">
      <calculatedColumnFormula>Impostos465972[[#This Row],[IMPOSTOS]]</calculatedColumnFormula>
    </tableColumn>
    <tableColumn id="2" xr3:uid="{72DFCF6B-8842-4469-96D1-6C1D67ECD775}" name="Custo " totalsRowFunction="custom" dataDxfId="8" totalsRowDxfId="7">
      <totalsRowFormula>SUM(Impostos465972132639526589102115128141154[[Custo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2D28E3C7-9B7C-448D-8CCD-2D218B77E3D1}" name="CuidadosPessoais526578241142740536690103116129142155" displayName="CuidadosPessoais526578241142740536690103116129142155" ref="E85:F100" totalsRowCount="1" headerRowDxfId="6" dataDxfId="5" totalsRowDxfId="4">
  <tableColumns count="2">
    <tableColumn id="1" xr3:uid="{E31B166D-6A66-4F94-BF89-9F55EA7C75E1}" name="CUIDADOS PESSOAIS" totalsRowLabel="Subtotal" dataDxfId="3" totalsRowDxfId="2">
      <calculatedColumnFormula>CuidadosPessoais526578241[[#This Row],[CUIDADOS PESSOAIS]]</calculatedColumnFormula>
    </tableColumn>
    <tableColumn id="2" xr3:uid="{376BEB66-E097-4392-908F-D782729EA0DC}" name="Custo " totalsRowFunction="custom" dataDxfId="1" totalsRowDxfId="0">
      <totalsRowFormula>SUM(CuidadosPessoais526578241142740536690103116129142155[[Custo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45475C-4518-41CB-A160-EB6664BC3538}" name="Entretenimento4255683" displayName="Entretenimento4255683" ref="E72:F83" totalsRowCount="1" headerRowDxfId="1125" dataDxfId="1124" totalsRowDxfId="1123">
  <tableColumns count="2">
    <tableColumn id="1" xr3:uid="{0CAC4103-4053-47E3-8CAA-ADF1F3025239}" name="ENTRETENIMENTO" totalsRowLabel="Subtotal" dataDxfId="1122" totalsRowDxfId="1121">
      <calculatedColumnFormula>Entretenimento425568[[#This Row],[ENTRETENIMENTO]]</calculatedColumnFormula>
    </tableColumn>
    <tableColumn id="3" xr3:uid="{D4266DEB-9E2A-4DA5-A50E-3DD7FB2BBA3E}" name="Custo " totalsRowFunction="custom" dataDxfId="1120" totalsRowDxfId="1119">
      <totalsRowFormula>SUM(Entretenimento4255683[[Custo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0324B3-F3E7-493B-9AAC-30B257809EA2}" name="Transporte4457704" displayName="Transporte4457704" ref="B85:C93" totalsRowCount="1" headerRowDxfId="1118" dataDxfId="1117" totalsRowDxfId="1116">
  <tableColumns count="2">
    <tableColumn id="1" xr3:uid="{82728E26-F1E7-43AE-B4E3-952A810C169D}" name="TRANSPORTE" totalsRowLabel="Subtotal" dataDxfId="1115" totalsRowDxfId="1114">
      <calculatedColumnFormula>Transporte445770[[#This Row],[TRANSPORTE]]</calculatedColumnFormula>
    </tableColumn>
    <tableColumn id="2" xr3:uid="{52A06594-4B9F-4FC5-BD1D-062A3E9FD790}" name="Custo " totalsRowFunction="custom" dataDxfId="1113" totalsRowDxfId="1112">
      <totalsRowFormula>SUM(Transporte4457704[[Custo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FADAB0C-327B-4756-8722-79B1C907C612}" name="Seguro4558715" displayName="Seguro4558715" ref="B95:C100" totalsRowCount="1" headerRowDxfId="1111" dataDxfId="1110" totalsRowDxfId="1109">
  <tableColumns count="2">
    <tableColumn id="1" xr3:uid="{F6AFBDD9-4C2B-4380-9927-295C9AAD2147}" name="SEGURO" totalsRowLabel="Subtotal" dataDxfId="1108" totalsRowDxfId="1107">
      <calculatedColumnFormula>Seguro455871[[#This Row],[SEGURO]]</calculatedColumnFormula>
    </tableColumn>
    <tableColumn id="2" xr3:uid="{48DE1C94-15E8-4FF6-AC3A-9F3E94892AE4}" name="Custo " totalsRowFunction="custom" dataDxfId="1106" totalsRowDxfId="1105">
      <totalsRowFormula>SUM(Seguro4558715[[Custo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E06B24-84E1-4250-A645-88B419D45650}" name="Alimentação4861746" displayName="Alimentação4861746" ref="B102:C108" totalsRowCount="1" headerRowDxfId="1104" dataDxfId="1103" totalsRowDxfId="1102">
  <tableColumns count="2">
    <tableColumn id="1" xr3:uid="{E11ABB5E-B709-4B35-921A-88BCE1C28B36}" name="ALIMENTAÇÃO" totalsRowLabel="Subtotal" dataDxfId="1101" totalsRowDxfId="1100">
      <calculatedColumnFormula>Alimentação486174[[#This Row],[ALIMENTAÇÃO]]</calculatedColumnFormula>
    </tableColumn>
    <tableColumn id="2" xr3:uid="{5E74ACB5-C5EE-4464-8149-74A1CB49E19D}" name="Custo " totalsRowFunction="custom" dataDxfId="1099" totalsRowDxfId="1098">
      <totalsRowFormula>SUM(Alimentação4861746[[Custo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69100208-1015-4261-B9D9-A5A21AE49909}" name="Moradia415467" displayName="Moradia415467" ref="B72:C83" totalsRowCount="1" headerRowDxfId="1235" dataDxfId="1234" totalsRowDxfId="1233">
  <tableColumns count="2">
    <tableColumn id="1" xr3:uid="{441AF3E1-05EE-4220-B6F4-E46F4AFAB161}" name="MORADIA" totalsRowLabel="Subtotal" dataDxfId="1232" totalsRowDxfId="1231"/>
    <tableColumn id="2" xr3:uid="{20D8A07F-854A-49E2-8A5E-9B7BADE2DA0E}" name="Custo " totalsRowFunction="custom" dataDxfId="1230" totalsRowDxfId="1229">
      <totalsRowFormula>SUM(Moradia415467[[Custo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B4ED55-BC20-4E36-AA19-CDE2A669D771}" name="Presentes4962757" displayName="Presentes4962757" ref="H72:I76" totalsRowCount="1" headerRowDxfId="1097" dataDxfId="1096" totalsRowDxfId="1095">
  <autoFilter ref="H72:I75" xr:uid="{00000000-0009-0000-0100-000009000000}">
    <filterColumn colId="0" hiddenButton="1"/>
    <filterColumn colId="1" hiddenButton="1"/>
  </autoFilter>
  <tableColumns count="2">
    <tableColumn id="1" xr3:uid="{3BA2F5F3-D9A0-418B-8DBE-E496FA233D6D}" name="PRESENTES E DOAÇÕES" totalsRowLabel="Subtotal" dataDxfId="1094" totalsRowDxfId="1093">
      <calculatedColumnFormula>Presentes496275[[#This Row],[PRESENTES E DOAÇÕES]]</calculatedColumnFormula>
    </tableColumn>
    <tableColumn id="2" xr3:uid="{1DF346B4-D46F-495C-A998-17A6AFF9999A}" name="Custo " totalsRowFunction="custom" dataDxfId="1092" totalsRowDxfId="1091">
      <totalsRowFormula>SUM(Presentes4962757[[Custo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167429-5870-4228-999D-06560F1D7271}" name="Animais_de_estimação5063768" displayName="Animais_de_estimação5063768" ref="H85:I91" totalsRowCount="1" headerRowDxfId="1090" dataDxfId="1089" totalsRowDxfId="1088">
  <tableColumns count="2">
    <tableColumn id="1" xr3:uid="{4EF7C483-E7BF-4B5A-8F2C-D9891F590525}" name="ANIMAIS DE ESTIMAÇÃO" totalsRowLabel="Subtotal" dataDxfId="1087" totalsRowDxfId="1086">
      <calculatedColumnFormula>Animais_de_estimação506376[[#This Row],[ANIMAIS DE ESTIMAÇÃO]]</calculatedColumnFormula>
    </tableColumn>
    <tableColumn id="2" xr3:uid="{0614ECD6-E393-4BAE-B113-0FACFF8DBEA0}" name="Custo " totalsRowFunction="custom" dataDxfId="1085" totalsRowDxfId="1084">
      <totalsRowFormula>SUM(Animais_de_estimação5063768[[Custo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2D5D3B3-962F-4D6F-B17A-AFF9FF443C8C}" name="Assessoria_jurídica5164779" displayName="Assessoria_jurídica5164779" ref="H78:I83" totalsRowCount="1" headerRowDxfId="1083" dataDxfId="1082" totalsRowDxfId="1081">
  <tableColumns count="2">
    <tableColumn id="1" xr3:uid="{E2BF541B-ECE2-40EF-BC12-09287205D694}" name="ASSESSORIA JURÍDICA" totalsRowLabel="Subtotal" dataDxfId="1080" totalsRowDxfId="1079">
      <calculatedColumnFormula>Assessoria_jurídica516477[[#This Row],[ASSESSORIA JURÍDICA]]</calculatedColumnFormula>
    </tableColumn>
    <tableColumn id="2" xr3:uid="{0F6A1F6C-6BBE-475E-AEED-A7EB3829F305}" name="Custo " totalsRowFunction="custom" dataDxfId="1078" totalsRowDxfId="1077">
      <totalsRowFormula>SUM(Assessoria_jurídica5164779[[Custo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0626028-4DAF-4A52-97F7-398826036ADC}" name="Tabela1353667910" displayName="Tabela1353667910" ref="C34:R63" totalsRowShown="0" headerRowDxfId="1076" dataDxfId="1075" tableBorderDxfId="1074" dataCellStyle="Título 2">
  <tableColumns count="16">
    <tableColumn id="1" xr3:uid="{8FAF77FD-86D8-4801-A12E-5637D8B75A71}" name="Nome do paciente " dataDxfId="1073" dataCellStyle="Título 2"/>
    <tableColumn id="2" xr3:uid="{888F5A97-0221-40E3-A17F-D7CA125C4A94}" name="Telefone" dataDxfId="1072" dataCellStyle="Título 2"/>
    <tableColumn id="3" xr3:uid="{83C35F81-F5ED-4EAE-87CE-DBB5338776F7}" name="Email" dataDxfId="1071"/>
    <tableColumn id="4" xr3:uid="{2247D3FB-2B3E-4A0B-9FBF-9334471C931A}" name="Total/mês" dataDxfId="1070" dataCellStyle="Título 2">
      <calculatedColumnFormula>SUM(Tabela1353667910[[#This Row],[Valor cobrado por sessão]]*Tabela1353667910[[#This Row],[Número sessão/mês]])</calculatedColumnFormula>
    </tableColumn>
    <tableColumn id="5" xr3:uid="{FE432C8C-F7BB-4E96-A221-066C4E83C058}" name="Valor cobrado por sessão" dataDxfId="1069" dataCellStyle="Título 2"/>
    <tableColumn id="6" xr3:uid="{F04ED71E-5DF9-420A-BAB9-964EB2E06188}" name="Número sessão/mês" dataDxfId="1068" dataCellStyle="Título 2"/>
    <tableColumn id="7" xr3:uid="{DF59938E-4319-4BE8-BC8B-CCD2D0039A05}" name="Semana 1" dataDxfId="1067" dataCellStyle="Título 2"/>
    <tableColumn id="8" xr3:uid="{DBB27594-2741-4D35-8041-D9C070A90965}" name="Pago" dataDxfId="1066" dataCellStyle="Título 2"/>
    <tableColumn id="9" xr3:uid="{B35A10E5-B159-4FCA-8913-5553ED09B858}" name="Semana 2" dataDxfId="1065" dataCellStyle="Título 2"/>
    <tableColumn id="10" xr3:uid="{68177AE3-2EA6-4259-8226-F5102F8A3448}" name="Pago2" dataDxfId="1064" dataCellStyle="Título 2"/>
    <tableColumn id="11" xr3:uid="{270FBC82-F3FC-4A36-9E8D-B3E06B579037}" name="Semana 3" dataDxfId="1063" dataCellStyle="Título 2"/>
    <tableColumn id="12" xr3:uid="{ECC60D79-344D-41FB-A78B-00701A790188}" name="Pago3" dataDxfId="1062" dataCellStyle="Título 2"/>
    <tableColumn id="13" xr3:uid="{38C910BF-76BC-4AD3-81D0-F6D36427F3D1}" name="Semana 4" dataDxfId="1061" dataCellStyle="Título 2"/>
    <tableColumn id="14" xr3:uid="{A9E3AFE2-60C7-4811-B5FF-44D2F2FE16E4}" name="Pago4" dataDxfId="1060" dataCellStyle="Título 2"/>
    <tableColumn id="15" xr3:uid="{63E1635B-105D-4C30-817A-8045BA0C60FF}" name="Semana 5" dataDxfId="1059" dataCellStyle="Título 2"/>
    <tableColumn id="16" xr3:uid="{24749FDA-F753-4319-ADDF-02D181BDB6D9}" name="Pago5" dataDxfId="1058" dataCellStyle="Título 2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AAE912-6ADF-4EEC-8A0E-A29702828212}" name="Poupança47607323611" displayName="Poupança47607323611" ref="E102:F108" totalsRowCount="1" headerRowDxfId="1057" dataDxfId="1056" totalsRowDxfId="1055">
  <tableColumns count="2">
    <tableColumn id="1" xr3:uid="{E52BD589-9006-488F-8804-94DD3CA41E13}" name="POUPANÇAS OU INVESTIMENTOS" totalsRowLabel="Subtotal" dataDxfId="1054" totalsRowDxfId="1053">
      <calculatedColumnFormula>Poupança476073236[[#This Row],[POUPANÇAS OU INVESTIMENTOS]]</calculatedColumnFormula>
    </tableColumn>
    <tableColumn id="2" xr3:uid="{858CF3E7-CFE5-43F9-B60A-0C1B1D7E3FFB}" name="Custo " totalsRowFunction="custom" dataDxfId="1052" totalsRowDxfId="1051">
      <totalsRowFormula>SUM(Poupança47607323611[[Custo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98E8A49-CAD9-4F54-BF9B-2790AD2E60DF}" name="Empréstimos43566912" displayName="Empréstimos43566912" ref="H93:I100" totalsRowCount="1" headerRowDxfId="1050" dataDxfId="1049" totalsRowDxfId="1048">
  <tableColumns count="2">
    <tableColumn id="1" xr3:uid="{8116A706-92AF-4366-896A-5C6D09CBA26A}" name="EMPRÉSTIMOS" totalsRowLabel="Subtotal" dataDxfId="1047" totalsRowDxfId="1046">
      <calculatedColumnFormula>Empréstimos435669[[#This Row],[EMPRÉSTIMOS]]</calculatedColumnFormula>
    </tableColumn>
    <tableColumn id="2" xr3:uid="{92594573-E579-4EC7-93C1-F2A40213DF24}" name="Custo " totalsRowFunction="custom" dataDxfId="1045" totalsRowDxfId="1044">
      <totalsRowFormula>SUM(Empréstimos43566912[[Custo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9AC5388-CA12-4B20-A9D4-11BEF1051082}" name="Impostos46597213" displayName="Impostos46597213" ref="H102:I107" totalsRowCount="1" headerRowDxfId="1043" dataDxfId="1042" totalsRowDxfId="1041">
  <tableColumns count="2">
    <tableColumn id="1" xr3:uid="{E1C0F306-2C28-4D34-BD0F-F2199C8D6BBB}" name="IMPOSTOS" totalsRowLabel="Subtotal" dataDxfId="1040" totalsRowDxfId="1039">
      <calculatedColumnFormula>Impostos465972[[#This Row],[IMPOSTOS]]</calculatedColumnFormula>
    </tableColumn>
    <tableColumn id="2" xr3:uid="{843D79F9-2D76-4347-AA58-F9F692D8D28A}" name="Custo " totalsRowFunction="custom" dataDxfId="1038" totalsRowDxfId="1037">
      <totalsRowFormula>SUM(Impostos46597213[[Custo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1915597-EA3F-41A1-A797-62F62A39FBDB}" name="CuidadosPessoais52657824114" displayName="CuidadosPessoais52657824114" ref="E85:F100" totalsRowCount="1" headerRowDxfId="1036" dataDxfId="1035" totalsRowDxfId="1034">
  <tableColumns count="2">
    <tableColumn id="1" xr3:uid="{5417E841-25E6-4787-84BF-2CFBD3B46ED1}" name="CUIDADOS PESSOAIS" totalsRowLabel="Subtotal" dataDxfId="1033" totalsRowDxfId="1032">
      <calculatedColumnFormula>CuidadosPessoais526578241[[#This Row],[CUIDADOS PESSOAIS]]</calculatedColumnFormula>
    </tableColumn>
    <tableColumn id="2" xr3:uid="{E24A36FE-E6E9-4548-B599-B011F22D8E3A}" name="Custo " totalsRowFunction="custom" dataDxfId="1031" totalsRowDxfId="1030">
      <totalsRowFormula>SUM(CuidadosPessoais52657824114[[Custo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458BDE-4FB8-402A-87EA-B5B17CA29FF8}" name="Moradia415467215" displayName="Moradia415467215" ref="B72:C83" totalsRowCount="1" headerRowDxfId="1029" dataDxfId="1028" totalsRowDxfId="1027">
  <tableColumns count="2">
    <tableColumn id="1" xr3:uid="{D3456621-A659-48ED-A412-F96926CC91FF}" name="MORADIA" totalsRowLabel="Subtotal" dataDxfId="1026" totalsRowDxfId="1025">
      <calculatedColumnFormula>Moradia415467[[#This Row],[MORADIA]]</calculatedColumnFormula>
    </tableColumn>
    <tableColumn id="2" xr3:uid="{B2B8D2D2-B65F-4FDE-A6A6-AED47072AD3F}" name="Custo " totalsRowFunction="custom" dataDxfId="1024" totalsRowDxfId="1023">
      <totalsRowFormula>SUM(Moradia415467215[[Custo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898A06-5F36-4E37-944F-9B0D5CB6549B}" name="Entretenimento425568316" displayName="Entretenimento425568316" ref="E72:F83" totalsRowCount="1" headerRowDxfId="1022" dataDxfId="1021" totalsRowDxfId="1020">
  <tableColumns count="2">
    <tableColumn id="1" xr3:uid="{452B44E6-414D-4987-A8F4-754F90583A1D}" name="ENTRETENIMENTO" totalsRowLabel="Subtotal" dataDxfId="1019" totalsRowDxfId="1018">
      <calculatedColumnFormula>Entretenimento425568[[#This Row],[ENTRETENIMENTO]]</calculatedColumnFormula>
    </tableColumn>
    <tableColumn id="3" xr3:uid="{52FD75A1-066E-4685-A8A8-428D555530A9}" name="Custo " totalsRowFunction="custom" dataDxfId="1017" totalsRowDxfId="1016">
      <totalsRowFormula>SUM(Entretenimento425568316[[Custo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E3C7D77-A026-44A9-A99B-09814A983B22}" name="Entretenimento425568" displayName="Entretenimento425568" ref="E72:F83" totalsRowCount="1" headerRowDxfId="1228" dataDxfId="1227" totalsRowDxfId="1226">
  <tableColumns count="2">
    <tableColumn id="1" xr3:uid="{0CCCA94C-A4C8-4AFD-99F9-5BD4E26216D0}" name="ENTRETENIMENTO" totalsRowLabel="Subtotal" dataDxfId="1225" totalsRowDxfId="1224"/>
    <tableColumn id="3" xr3:uid="{06FFA64F-A0C7-47CE-85A0-C96D64146AC1}" name="Custo " totalsRowFunction="custom" dataDxfId="1223" totalsRowDxfId="1222">
      <totalsRowFormula>SUM(Entretenimento425568[[Custo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685B61F-E677-4A65-8AC6-AB8EDD47DE39}" name="Transporte445770417" displayName="Transporte445770417" ref="B85:C93" totalsRowCount="1" headerRowDxfId="1015" dataDxfId="1014" totalsRowDxfId="1013">
  <tableColumns count="2">
    <tableColumn id="1" xr3:uid="{B8B00C7E-99B4-40B7-BFBE-007C67CFBA23}" name="TRANSPORTE" totalsRowLabel="Subtotal" dataDxfId="1012" totalsRowDxfId="1011">
      <calculatedColumnFormula>Transporte445770[[#This Row],[TRANSPORTE]]</calculatedColumnFormula>
    </tableColumn>
    <tableColumn id="2" xr3:uid="{A241CA9E-27FD-409C-AD81-30568869FB26}" name="Custo " totalsRowFunction="custom" dataDxfId="1010" totalsRowDxfId="1009">
      <totalsRowFormula>SUM(Transporte445770417[[Custo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63E6AD3-EE89-4439-92C1-F2C09BE594C3}" name="Seguro455871518" displayName="Seguro455871518" ref="B95:C100" totalsRowCount="1" headerRowDxfId="1008" dataDxfId="1007" totalsRowDxfId="1006">
  <tableColumns count="2">
    <tableColumn id="1" xr3:uid="{25CA2198-935A-47FC-8371-FB9571D99847}" name="SEGURO" totalsRowLabel="Subtotal" dataDxfId="1005" totalsRowDxfId="1004">
      <calculatedColumnFormula>Seguro455871[[#This Row],[SEGURO]]</calculatedColumnFormula>
    </tableColumn>
    <tableColumn id="2" xr3:uid="{FF0390F3-8892-4CCF-9BC9-79160A4B6F2B}" name="Custo " totalsRowFunction="custom" dataDxfId="1003" totalsRowDxfId="1002">
      <totalsRowFormula>SUM(Seguro455871518[[Custo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E0A6FD8-6971-479E-9772-4BB5ABC34166}" name="Alimentação486174619" displayName="Alimentação486174619" ref="B102:C108" totalsRowCount="1" headerRowDxfId="1001" dataDxfId="1000" totalsRowDxfId="999">
  <tableColumns count="2">
    <tableColumn id="1" xr3:uid="{9A853EC2-A65C-4BD8-93BB-C84AD6DB45B6}" name="ALIMENTAÇÃO" totalsRowLabel="Subtotal" dataDxfId="998" totalsRowDxfId="997">
      <calculatedColumnFormula>Alimentação486174[[#This Row],[ALIMENTAÇÃO]]</calculatedColumnFormula>
    </tableColumn>
    <tableColumn id="2" xr3:uid="{33EBD7B0-717D-4A62-AD25-1DAFD42A08C9}" name="Custo " totalsRowFunction="custom" dataDxfId="996" totalsRowDxfId="995">
      <totalsRowFormula>SUM(Alimentação486174619[[Custo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EE6EB3-0254-4082-9F20-95F425F36C2C}" name="Presentes496275720" displayName="Presentes496275720" ref="H72:I76" totalsRowCount="1" headerRowDxfId="994" dataDxfId="993" totalsRowDxfId="992">
  <autoFilter ref="H72:I75" xr:uid="{00000000-0009-0000-0100-000009000000}">
    <filterColumn colId="0" hiddenButton="1"/>
    <filterColumn colId="1" hiddenButton="1"/>
  </autoFilter>
  <tableColumns count="2">
    <tableColumn id="1" xr3:uid="{73A4F8E4-DD44-42AE-A7BB-3ABCB63CAF21}" name="PRESENTES E DOAÇÕES" totalsRowLabel="Subtotal" dataDxfId="991" totalsRowDxfId="990">
      <calculatedColumnFormula>Presentes496275[[#This Row],[PRESENTES E DOAÇÕES]]</calculatedColumnFormula>
    </tableColumn>
    <tableColumn id="2" xr3:uid="{FD926BE6-5AC7-4391-A348-6D850490BA15}" name="Custo " totalsRowFunction="custom" dataDxfId="989" totalsRowDxfId="988">
      <totalsRowFormula>SUM(Presentes496275720[[Custo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701A2F3-F324-4846-8360-97F56824D0D7}" name="Animais_de_estimação506376821" displayName="Animais_de_estimação506376821" ref="H85:I91" totalsRowCount="1" headerRowDxfId="987" dataDxfId="986" totalsRowDxfId="985">
  <tableColumns count="2">
    <tableColumn id="1" xr3:uid="{C170F2E7-D395-41A4-AE2B-D7A512B18B36}" name="ANIMAIS DE ESTIMAÇÃO" totalsRowLabel="Subtotal" dataDxfId="984" totalsRowDxfId="983">
      <calculatedColumnFormula>Animais_de_estimação506376[[#This Row],[ANIMAIS DE ESTIMAÇÃO]]</calculatedColumnFormula>
    </tableColumn>
    <tableColumn id="2" xr3:uid="{8C543AD6-393D-4F56-ACDB-FB47AEA1BB61}" name="Custo " totalsRowFunction="custom" dataDxfId="982" totalsRowDxfId="981">
      <totalsRowFormula>SUM(Animais_de_estimação506376821[[Custo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832FB1D-28EA-43E8-BCAE-E5D869A3CA8D}" name="Assessoria_jurídica516477922" displayName="Assessoria_jurídica516477922" ref="H78:I83" totalsRowCount="1" headerRowDxfId="980" dataDxfId="979" totalsRowDxfId="978">
  <tableColumns count="2">
    <tableColumn id="1" xr3:uid="{A8FC0D41-BABA-4596-A4DB-D33154E6789F}" name="ASSESSORIA JURÍDICA" totalsRowLabel="Subtotal" dataDxfId="977" totalsRowDxfId="976">
      <calculatedColumnFormula>Assessoria_jurídica516477[[#This Row],[ASSESSORIA JURÍDICA]]</calculatedColumnFormula>
    </tableColumn>
    <tableColumn id="2" xr3:uid="{8223B1D0-0184-4884-9FD0-5E9EC1E05B85}" name="Custo " totalsRowFunction="custom" dataDxfId="975" totalsRowDxfId="974">
      <totalsRowFormula>SUM(Assessoria_jurídica516477922[[Custo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82FFFA3-E097-4899-9BA1-9EEFC3604557}" name="Tabela135366791023" displayName="Tabela135366791023" ref="C34:R63" totalsRowShown="0" headerRowDxfId="973" dataDxfId="972" tableBorderDxfId="971" dataCellStyle="Título 2">
  <tableColumns count="16">
    <tableColumn id="1" xr3:uid="{606D4344-FF0F-4C00-A726-0546905B71AE}" name="Nome do paciente " dataDxfId="970" dataCellStyle="Título 2"/>
    <tableColumn id="2" xr3:uid="{3D86BAD9-D9DF-456B-B84A-1B1D935B02AC}" name="Telefone" dataDxfId="969" dataCellStyle="Título 2"/>
    <tableColumn id="3" xr3:uid="{F06FDDEE-AF05-45EA-BB96-09127AB76D5C}" name="Email" dataDxfId="968"/>
    <tableColumn id="4" xr3:uid="{A8E3A838-26AD-4EF0-86CF-936B485A9C5F}" name="Total/mês" dataDxfId="967" dataCellStyle="Título 2">
      <calculatedColumnFormula>SUM(Tabela135366791023[[#This Row],[Valor cobrado por sessão]]*Tabela135366791023[[#This Row],[Número sessão/mês]])</calculatedColumnFormula>
    </tableColumn>
    <tableColumn id="5" xr3:uid="{D5626A6E-3FC2-4873-A34B-9103BD526AC4}" name="Valor cobrado por sessão" dataDxfId="966" dataCellStyle="Título 2"/>
    <tableColumn id="6" xr3:uid="{03746CDE-7868-4FEF-825C-F6FD3E772BB1}" name="Número sessão/mês" dataDxfId="965" dataCellStyle="Título 2"/>
    <tableColumn id="7" xr3:uid="{D1F05E5E-FC55-49A0-A83B-40D0C1A09283}" name="Semana 1" dataDxfId="964" dataCellStyle="Título 2"/>
    <tableColumn id="8" xr3:uid="{58141C06-043D-4E10-AEE1-018839DF2669}" name="Pago" dataDxfId="963" dataCellStyle="Título 2"/>
    <tableColumn id="9" xr3:uid="{73B38B2B-9A00-417D-8183-AFB642EC86F5}" name="Semana 2" dataDxfId="962" dataCellStyle="Título 2"/>
    <tableColumn id="10" xr3:uid="{0057F855-7EF5-4998-90E0-038D433437FF}" name="Pago2" dataDxfId="961" dataCellStyle="Título 2"/>
    <tableColumn id="11" xr3:uid="{9474D4F5-0138-4F9F-98FA-9AD495735C7C}" name="Semana 3" dataDxfId="960" dataCellStyle="Título 2"/>
    <tableColumn id="12" xr3:uid="{4F1F171A-6BAA-4A3A-9F8D-CED2CA0D39B8}" name="Pago3" dataDxfId="959" dataCellStyle="Título 2"/>
    <tableColumn id="13" xr3:uid="{C17D7205-339D-425D-99D6-05D53F277E60}" name="Semana 4" dataDxfId="958" dataCellStyle="Título 2"/>
    <tableColumn id="14" xr3:uid="{FACFE803-DFEC-4337-A745-73F34806D43B}" name="Pago4" dataDxfId="957" dataCellStyle="Título 2"/>
    <tableColumn id="15" xr3:uid="{0CE5DF9D-AE0A-46AA-B3AE-905C2EE35F2D}" name="Semana 5" dataDxfId="956" dataCellStyle="Título 2"/>
    <tableColumn id="16" xr3:uid="{6054B629-FC90-40AB-833A-D0F8308AC70F}" name="Pago5" dataDxfId="955" dataCellStyle="Título 2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4E70E75-FE82-47D9-8528-E2C42B774100}" name="Poupança4760732361124" displayName="Poupança4760732361124" ref="E102:F108" totalsRowCount="1" headerRowDxfId="954" dataDxfId="953" totalsRowDxfId="952">
  <tableColumns count="2">
    <tableColumn id="1" xr3:uid="{3FD1969D-F8CE-4388-A913-5C4FDBA85204}" name="POUPANÇAS OU INVESTIMENTOS" totalsRowLabel="Subtotal" dataDxfId="951" totalsRowDxfId="950">
      <calculatedColumnFormula>Poupança476073236[[#This Row],[POUPANÇAS OU INVESTIMENTOS]]</calculatedColumnFormula>
    </tableColumn>
    <tableColumn id="2" xr3:uid="{E681C221-2F7E-49F3-B49A-72E2F50FE3EB}" name="Custo " totalsRowFunction="custom" dataDxfId="949" totalsRowDxfId="948">
      <totalsRowFormula>SUM(Poupança4760732361124[[Custo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3226DCE-4682-4949-8E91-F00BD85B080C}" name="Empréstimos4356691225" displayName="Empréstimos4356691225" ref="H93:I100" totalsRowCount="1" headerRowDxfId="947" dataDxfId="946" totalsRowDxfId="945">
  <tableColumns count="2">
    <tableColumn id="1" xr3:uid="{D5FB535A-2F37-4D03-B3CF-8C3941760BAC}" name="EMPRÉSTIMOS" totalsRowLabel="Subtotal" dataDxfId="944" totalsRowDxfId="943">
      <calculatedColumnFormula>Empréstimos435669[[#This Row],[EMPRÉSTIMOS]]</calculatedColumnFormula>
    </tableColumn>
    <tableColumn id="2" xr3:uid="{D5A81085-1DED-4516-A52A-24C3C199A773}" name="Custo " totalsRowFunction="custom" dataDxfId="942" totalsRowDxfId="941">
      <totalsRowFormula>SUM(Empréstimos4356691225[[Custo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176F5E9-48FA-433C-AEE6-9387719FA1C9}" name="Impostos4659721326" displayName="Impostos4659721326" ref="H102:I107" totalsRowCount="1" headerRowDxfId="940" dataDxfId="939" totalsRowDxfId="938">
  <tableColumns count="2">
    <tableColumn id="1" xr3:uid="{15A86F9E-7150-4FE2-B316-25D3C4CA34F5}" name="IMPOSTOS" totalsRowLabel="Subtotal" dataDxfId="937" totalsRowDxfId="936">
      <calculatedColumnFormula>Impostos465972[[#This Row],[IMPOSTOS]]</calculatedColumnFormula>
    </tableColumn>
    <tableColumn id="2" xr3:uid="{C0E8294F-3F64-45F4-90A4-4EEDAF7215EE}" name="Custo " totalsRowFunction="custom" dataDxfId="935" totalsRowDxfId="934">
      <totalsRowFormula>SUM(Impostos4659721326[[Custo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0F694D9-522C-4643-A1EC-9BC271D3B76C}" name="Transporte445770" displayName="Transporte445770" ref="B85:C93" totalsRowCount="1" headerRowDxfId="1221" dataDxfId="1220" totalsRowDxfId="1219">
  <tableColumns count="2">
    <tableColumn id="1" xr3:uid="{6025FDE8-F2DB-47FB-8987-5B23249CAF8F}" name="TRANSPORTE" totalsRowLabel="Subtotal" dataDxfId="1218" totalsRowDxfId="1217"/>
    <tableColumn id="2" xr3:uid="{7F2D7511-1BEE-4A91-B77E-5A9725BEF1AE}" name="Custo " totalsRowFunction="custom" dataDxfId="1216" totalsRowDxfId="1215">
      <totalsRowFormula>SUM(Transporte445770[[Custo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E4C5F9B-5BAD-49AB-8DA9-6B4268241E47}" name="CuidadosPessoais5265782411427" displayName="CuidadosPessoais5265782411427" ref="E85:F100" totalsRowCount="1" headerRowDxfId="933" dataDxfId="932" totalsRowDxfId="931">
  <tableColumns count="2">
    <tableColumn id="1" xr3:uid="{E632BF95-24F7-48BA-B559-F8968F2CEEE3}" name="CUIDADOS PESSOAIS" totalsRowLabel="Subtotal" dataDxfId="930" totalsRowDxfId="929">
      <calculatedColumnFormula>CuidadosPessoais526578241[[#This Row],[CUIDADOS PESSOAIS]]</calculatedColumnFormula>
    </tableColumn>
    <tableColumn id="2" xr3:uid="{94FB5CC2-7B0E-4862-AEFA-F14F1BB616DC}" name="Custo " totalsRowFunction="custom" dataDxfId="928" totalsRowDxfId="927">
      <totalsRowFormula>SUM(CuidadosPessoais5265782411427[[Custo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9DDD765-306F-411E-AE6C-5E716256596C}" name="Moradia41546721528" displayName="Moradia41546721528" ref="B72:C83" totalsRowCount="1" headerRowDxfId="926" dataDxfId="925" totalsRowDxfId="924">
  <tableColumns count="2">
    <tableColumn id="1" xr3:uid="{A529CFC2-E229-425B-8B66-48641538063F}" name="MORADIA" totalsRowLabel="Subtotal" dataDxfId="923" totalsRowDxfId="922">
      <calculatedColumnFormula>Moradia415467[[#This Row],[MORADIA]]</calculatedColumnFormula>
    </tableColumn>
    <tableColumn id="2" xr3:uid="{C40F9AEC-2FFA-4CA8-A5B1-4915862A0939}" name="Custo " totalsRowFunction="custom" dataDxfId="921" totalsRowDxfId="920">
      <totalsRowFormula>SUM(Moradia41546721528[[Custo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6AC9C5-3273-4333-9E2A-1786AA6C9525}" name="Entretenimento42556831629" displayName="Entretenimento42556831629" ref="E72:F83" totalsRowCount="1" headerRowDxfId="919" dataDxfId="918" totalsRowDxfId="917">
  <tableColumns count="2">
    <tableColumn id="1" xr3:uid="{C40344F7-9386-4F80-B963-2D3069AFC061}" name="ENTRETENIMENTO" totalsRowLabel="Subtotal" dataDxfId="916" totalsRowDxfId="915">
      <calculatedColumnFormula>Entretenimento425568[[#This Row],[ENTRETENIMENTO]]</calculatedColumnFormula>
    </tableColumn>
    <tableColumn id="3" xr3:uid="{6207F0BF-57E2-4705-AD62-44EAD394B7E4}" name="Custo " totalsRowFunction="custom" dataDxfId="914" totalsRowDxfId="913">
      <totalsRowFormula>SUM(Entretenimento42556831629[[Custo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1A6B289-EA25-4649-8B2B-950B28E62AE8}" name="Transporte44577041730" displayName="Transporte44577041730" ref="B85:C93" totalsRowCount="1" headerRowDxfId="912" dataDxfId="911" totalsRowDxfId="910">
  <tableColumns count="2">
    <tableColumn id="1" xr3:uid="{0C0F35A2-C3BE-4361-B378-C2B9DF7E8FBB}" name="TRANSPORTE" totalsRowLabel="Subtotal" dataDxfId="909" totalsRowDxfId="908">
      <calculatedColumnFormula>Transporte445770[[#This Row],[TRANSPORTE]]</calculatedColumnFormula>
    </tableColumn>
    <tableColumn id="2" xr3:uid="{AE8F189F-CFFA-402E-83C8-B6BE7EAE2BCB}" name="Custo " totalsRowFunction="custom" dataDxfId="907" totalsRowDxfId="906">
      <totalsRowFormula>SUM(Transporte44577041730[[Custo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A11E0E1-E3D5-43F6-9084-A08A9BDD19E3}" name="Seguro45587151831" displayName="Seguro45587151831" ref="B95:C100" totalsRowCount="1" headerRowDxfId="905" dataDxfId="904" totalsRowDxfId="903">
  <tableColumns count="2">
    <tableColumn id="1" xr3:uid="{FCA936FB-B842-42A4-AED5-3629A0E39D26}" name="SEGURO" totalsRowLabel="Subtotal" dataDxfId="902" totalsRowDxfId="901">
      <calculatedColumnFormula>Seguro455871[[#This Row],[SEGURO]]</calculatedColumnFormula>
    </tableColumn>
    <tableColumn id="2" xr3:uid="{E2933AB2-8EF8-472E-8CA5-BB5AAF7B10EC}" name="Custo " totalsRowFunction="custom" dataDxfId="900" totalsRowDxfId="899">
      <totalsRowFormula>SUM(Seguro45587151831[[Custo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9AA82E2-282E-4E49-BB02-9B44EE7B5A98}" name="Alimentação48617461932" displayName="Alimentação48617461932" ref="B102:C108" totalsRowCount="1" headerRowDxfId="898" dataDxfId="897" totalsRowDxfId="896">
  <tableColumns count="2">
    <tableColumn id="1" xr3:uid="{F5A32429-26FC-416D-845D-BB98521F5C44}" name="ALIMENTAÇÃO" totalsRowLabel="Subtotal" dataDxfId="895" totalsRowDxfId="894">
      <calculatedColumnFormula>Alimentação486174[[#This Row],[ALIMENTAÇÃO]]</calculatedColumnFormula>
    </tableColumn>
    <tableColumn id="2" xr3:uid="{7E0B10BD-7E65-46FF-8FF2-0017F9BB22AD}" name="Custo " totalsRowFunction="custom" dataDxfId="893" totalsRowDxfId="892">
      <totalsRowFormula>SUM(Alimentação48617461932[[Custo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886279D-8035-4D75-8240-2E9FC1EEF6DD}" name="Presentes49627572033" displayName="Presentes49627572033" ref="H72:I76" totalsRowCount="1" headerRowDxfId="891" dataDxfId="890" totalsRowDxfId="889">
  <autoFilter ref="H72:I75" xr:uid="{00000000-0009-0000-0100-000009000000}">
    <filterColumn colId="0" hiddenButton="1"/>
    <filterColumn colId="1" hiddenButton="1"/>
  </autoFilter>
  <tableColumns count="2">
    <tableColumn id="1" xr3:uid="{32B0652A-1712-48A0-B503-EC072DAAE96F}" name="PRESENTES E DOAÇÕES" totalsRowLabel="Subtotal" dataDxfId="888" totalsRowDxfId="887">
      <calculatedColumnFormula>Presentes496275[[#This Row],[PRESENTES E DOAÇÕES]]</calculatedColumnFormula>
    </tableColumn>
    <tableColumn id="2" xr3:uid="{8E5D127E-631A-4D70-8879-55FB74F92188}" name="Custo " totalsRowFunction="custom" dataDxfId="886" totalsRowDxfId="885">
      <totalsRowFormula>SUM(Presentes49627572033[[Custo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692F53D-6B47-4C84-99E9-BDBB41CE7132}" name="Animais_de_estimação50637682134" displayName="Animais_de_estimação50637682134" ref="H85:I91" totalsRowCount="1" headerRowDxfId="884" dataDxfId="883" totalsRowDxfId="882">
  <tableColumns count="2">
    <tableColumn id="1" xr3:uid="{98AFFDEA-2E00-4DC3-8E0B-476370F62F30}" name="ANIMAIS DE ESTIMAÇÃO" totalsRowLabel="Subtotal" dataDxfId="881" totalsRowDxfId="880">
      <calculatedColumnFormula>Animais_de_estimação506376[[#This Row],[ANIMAIS DE ESTIMAÇÃO]]</calculatedColumnFormula>
    </tableColumn>
    <tableColumn id="2" xr3:uid="{B252F5B5-FBEE-4181-9518-E0F48E05C539}" name="Custo " totalsRowFunction="custom" dataDxfId="879" totalsRowDxfId="878">
      <totalsRowFormula>SUM(Animais_de_estimação50637682134[[Custo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8E560C5-A9BE-4390-AF00-9D3BC69EAE94}" name="Assessoria_jurídica51647792235" displayName="Assessoria_jurídica51647792235" ref="H78:I83" totalsRowCount="1" headerRowDxfId="877" dataDxfId="876" totalsRowDxfId="875">
  <tableColumns count="2">
    <tableColumn id="1" xr3:uid="{41A92C09-1003-446B-95D0-CE8758DF2272}" name="ASSESSORIA JURÍDICA" totalsRowLabel="Subtotal" dataDxfId="874" totalsRowDxfId="873">
      <calculatedColumnFormula>Assessoria_jurídica516477[[#This Row],[ASSESSORIA JURÍDICA]]</calculatedColumnFormula>
    </tableColumn>
    <tableColumn id="2" xr3:uid="{4DAC107D-CAF4-4BAD-AAE5-DFC9D7777256}" name="Custo " totalsRowFunction="custom" dataDxfId="872" totalsRowDxfId="871">
      <totalsRowFormula>SUM(Assessoria_jurídica51647792235[[Custo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4EB6224-33AD-4ADD-81AC-29803058A9B4}" name="Tabela13536679102336" displayName="Tabela13536679102336" ref="C34:R63" totalsRowShown="0" headerRowDxfId="870" dataDxfId="869" tableBorderDxfId="868" dataCellStyle="Título 2">
  <tableColumns count="16">
    <tableColumn id="1" xr3:uid="{7B712371-527A-4DFF-B114-111C0A48AA80}" name="Nome do paciente " dataDxfId="867" dataCellStyle="Título 2"/>
    <tableColumn id="2" xr3:uid="{033378EC-058D-41C6-BCE5-B3E9C4AB9D08}" name="Telefone" dataDxfId="866" dataCellStyle="Título 2"/>
    <tableColumn id="3" xr3:uid="{B812EECE-B826-48DC-BDED-7506B07AFE8A}" name="Email" dataDxfId="865"/>
    <tableColumn id="4" xr3:uid="{F0878193-5E39-41E1-9E1B-651CD69E4F78}" name="Total/mês" dataDxfId="864" dataCellStyle="Título 2">
      <calculatedColumnFormula>SUM(Tabela13536679102336[[#This Row],[Valor cobrado por sessão]]*Tabela13536679102336[[#This Row],[Número sessão/mês]])</calculatedColumnFormula>
    </tableColumn>
    <tableColumn id="5" xr3:uid="{A8C1AB60-A3FF-4FF8-9D5F-1F2F115F0D3A}" name="Valor cobrado por sessão" dataDxfId="863" dataCellStyle="Título 2"/>
    <tableColumn id="6" xr3:uid="{E0EE480E-08B6-4BF5-B3EB-13468A5210B2}" name="Número sessão/mês" dataDxfId="862" dataCellStyle="Título 2"/>
    <tableColumn id="7" xr3:uid="{33574EC5-9289-473B-AD25-23F07F90F616}" name="Semana 1" dataDxfId="861" dataCellStyle="Título 2"/>
    <tableColumn id="8" xr3:uid="{51E50A5A-A556-4B54-B535-58EF62307192}" name="Pago" dataDxfId="860" dataCellStyle="Título 2"/>
    <tableColumn id="9" xr3:uid="{4153DDC6-AC23-4334-99C1-2151F9E5CCFE}" name="Semana 2" dataDxfId="859" dataCellStyle="Título 2"/>
    <tableColumn id="10" xr3:uid="{06CF9F04-BE8B-4BF5-9309-B0BD8D4994B7}" name="Pago2" dataDxfId="858" dataCellStyle="Título 2"/>
    <tableColumn id="11" xr3:uid="{72339206-2069-4FC5-98AE-4B054D40F960}" name="Semana 3" dataDxfId="857" dataCellStyle="Título 2"/>
    <tableColumn id="12" xr3:uid="{B3312CD1-0CD1-42C7-96A3-CF2DA9E1BA91}" name="Pago3" dataDxfId="856" dataCellStyle="Título 2"/>
    <tableColumn id="13" xr3:uid="{3D052AFD-1921-4C29-8DEB-DF69EA9101D4}" name="Semana 4" dataDxfId="855" dataCellStyle="Título 2"/>
    <tableColumn id="14" xr3:uid="{7C0257EF-D19D-4B42-8B74-82627AB7D6A1}" name="Pago4" dataDxfId="854" dataCellStyle="Título 2"/>
    <tableColumn id="15" xr3:uid="{DABC9937-4A75-471E-94D7-3C488E3B6598}" name="Semana 5" dataDxfId="853" dataCellStyle="Título 2"/>
    <tableColumn id="16" xr3:uid="{BFFCF67D-4A45-49D1-AE47-3FFEFF86E1D2}" name="Pago5" dataDxfId="852" dataCellStyle="Título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DB67B97-EF54-4744-BB2F-9859C4B5A76E}" name="Seguro455871" displayName="Seguro455871" ref="B95:C100" totalsRowCount="1" headerRowDxfId="1214" dataDxfId="1213" totalsRowDxfId="1212">
  <tableColumns count="2">
    <tableColumn id="1" xr3:uid="{F8614E5D-EDD0-47CA-8464-A7EE88D5BE62}" name="SEGURO" totalsRowLabel="Subtotal" dataDxfId="1211" totalsRowDxfId="1210"/>
    <tableColumn id="2" xr3:uid="{4ABE4BEB-DB02-42F5-A212-010B398D106E}" name="Custo " totalsRowFunction="custom" dataDxfId="1209" totalsRowDxfId="1208">
      <totalsRowFormula>SUM(Seguro455871[[Custo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3456C19-D3C7-499E-9222-56DCBA699738}" name="Poupança476073236112437" displayName="Poupança476073236112437" ref="E102:F108" totalsRowCount="1" headerRowDxfId="851" dataDxfId="850" totalsRowDxfId="849">
  <tableColumns count="2">
    <tableColumn id="1" xr3:uid="{A81EA864-9399-42DC-AE73-1B001C83B705}" name="POUPANÇAS OU INVESTIMENTOS" totalsRowLabel="Subtotal" dataDxfId="848" totalsRowDxfId="847">
      <calculatedColumnFormula>Poupança476073236[[#This Row],[POUPANÇAS OU INVESTIMENTOS]]</calculatedColumnFormula>
    </tableColumn>
    <tableColumn id="2" xr3:uid="{7AFC7D6A-C2E7-4272-8C15-AB88AB0C2A7F}" name="Custo " totalsRowFunction="custom" dataDxfId="846" totalsRowDxfId="845">
      <totalsRowFormula>SUM(Poupança476073236112437[[Custo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32AE9FD-287C-4982-BEAB-D19F306737F2}" name="Empréstimos435669122538" displayName="Empréstimos435669122538" ref="H93:I100" totalsRowCount="1" headerRowDxfId="844" dataDxfId="843" totalsRowDxfId="842">
  <tableColumns count="2">
    <tableColumn id="1" xr3:uid="{2AB9C775-7686-490C-8F1F-FF6F484B3444}" name="EMPRÉSTIMOS" totalsRowLabel="Subtotal" dataDxfId="841" totalsRowDxfId="840">
      <calculatedColumnFormula>Empréstimos435669[[#This Row],[EMPRÉSTIMOS]]</calculatedColumnFormula>
    </tableColumn>
    <tableColumn id="2" xr3:uid="{B47D8BDB-15F5-40A3-BB72-5B3585706864}" name="Custo " totalsRowFunction="custom" dataDxfId="839" totalsRowDxfId="838">
      <totalsRowFormula>SUM(Empréstimos435669122538[[Custo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80F4237-BDD7-4C2C-8BF4-4A9358A5BB47}" name="Impostos465972132639" displayName="Impostos465972132639" ref="H102:I107" totalsRowCount="1" headerRowDxfId="837" dataDxfId="836" totalsRowDxfId="835">
  <tableColumns count="2">
    <tableColumn id="1" xr3:uid="{743D5C9F-5665-4C5C-9F61-4048FC7863EB}" name="IMPOSTOS" totalsRowLabel="Subtotal" dataDxfId="834" totalsRowDxfId="833">
      <calculatedColumnFormula>Impostos465972[[#This Row],[IMPOSTOS]]</calculatedColumnFormula>
    </tableColumn>
    <tableColumn id="2" xr3:uid="{F6D74E86-E01F-46B2-8E70-31024E39C7E9}" name="Custo " totalsRowFunction="custom" dataDxfId="832" totalsRowDxfId="831">
      <totalsRowFormula>SUM(Impostos465972132639[[Custo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229FEDE-190F-4EFF-8B61-45AD042A9C8B}" name="CuidadosPessoais526578241142740" displayName="CuidadosPessoais526578241142740" ref="E85:F100" totalsRowCount="1" headerRowDxfId="830" dataDxfId="829" totalsRowDxfId="828">
  <tableColumns count="2">
    <tableColumn id="1" xr3:uid="{926F9157-D34F-4764-A8A7-C3F281E96892}" name="CUIDADOS PESSOAIS" totalsRowLabel="Subtotal" dataDxfId="827" totalsRowDxfId="826">
      <calculatedColumnFormula>CuidadosPessoais526578241[[#This Row],[CUIDADOS PESSOAIS]]</calculatedColumnFormula>
    </tableColumn>
    <tableColumn id="2" xr3:uid="{48FE0B6E-156A-47F8-B303-927432495471}" name="Custo " totalsRowFunction="custom" dataDxfId="825" totalsRowDxfId="824">
      <totalsRowFormula>SUM(CuidadosPessoais526578241142740[[Custo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954962F-DD25-4D91-B3DB-1CFBCA78FEE5}" name="Moradia4154672152841" displayName="Moradia4154672152841" ref="B72:C83" totalsRowCount="1" headerRowDxfId="823" dataDxfId="822" totalsRowDxfId="821">
  <tableColumns count="2">
    <tableColumn id="1" xr3:uid="{B5F640A2-93F4-459F-9E84-A2C213192399}" name="MORADIA" totalsRowLabel="Subtotal" dataDxfId="820" totalsRowDxfId="819">
      <calculatedColumnFormula>Moradia415467[[#This Row],[MORADIA]]</calculatedColumnFormula>
    </tableColumn>
    <tableColumn id="2" xr3:uid="{0E77E228-0B27-4A7F-8937-389C0B838781}" name="Custo " totalsRowFunction="custom" dataDxfId="818" totalsRowDxfId="817">
      <totalsRowFormula>SUM(Moradia4154672152841[[Custo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80101A1-A7C0-4C0F-B542-1AC515DDEEFF}" name="Entretenimento4255683162942" displayName="Entretenimento4255683162942" ref="E72:F83" totalsRowCount="1" headerRowDxfId="816" dataDxfId="815" totalsRowDxfId="814">
  <tableColumns count="2">
    <tableColumn id="1" xr3:uid="{8F96A412-AA05-4FA6-8DEA-03644F9D8EBF}" name="ENTRETENIMENTO" totalsRowLabel="Subtotal" dataDxfId="813" totalsRowDxfId="812">
      <calculatedColumnFormula>Entretenimento425568[[#This Row],[ENTRETENIMENTO]]</calculatedColumnFormula>
    </tableColumn>
    <tableColumn id="3" xr3:uid="{4F69130D-CA0B-40D4-AD41-6B08476C067A}" name="Custo " totalsRowFunction="custom" dataDxfId="811" totalsRowDxfId="810">
      <totalsRowFormula>SUM(Entretenimento4255683162942[[Custo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CA7ED4B-F3FD-4E99-9A82-0A4D5F74A535}" name="Transporte4457704173043" displayName="Transporte4457704173043" ref="B85:C93" totalsRowCount="1" headerRowDxfId="809" dataDxfId="808" totalsRowDxfId="807">
  <tableColumns count="2">
    <tableColumn id="1" xr3:uid="{DC70AC4A-0BC0-4EEA-B5E5-DF5BD22E82B6}" name="TRANSPORTE" totalsRowLabel="Subtotal" dataDxfId="806" totalsRowDxfId="805">
      <calculatedColumnFormula>Transporte445770[[#This Row],[TRANSPORTE]]</calculatedColumnFormula>
    </tableColumn>
    <tableColumn id="2" xr3:uid="{816CDE73-7037-44B4-A8CC-151D50F67C02}" name="Custo " totalsRowFunction="custom" dataDxfId="804" totalsRowDxfId="803">
      <totalsRowFormula>SUM(Transporte4457704173043[[Custo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F2AFFBE-55CD-4282-97B3-FFDED038AC54}" name="Seguro4558715183144" displayName="Seguro4558715183144" ref="B95:C100" totalsRowCount="1" headerRowDxfId="802" dataDxfId="801" totalsRowDxfId="800">
  <tableColumns count="2">
    <tableColumn id="1" xr3:uid="{CB1D656F-A3EF-4AAE-B1C9-ACF9C4D2D22B}" name="SEGURO" totalsRowLabel="Subtotal" dataDxfId="799" totalsRowDxfId="798">
      <calculatedColumnFormula>Seguro455871[[#This Row],[SEGURO]]</calculatedColumnFormula>
    </tableColumn>
    <tableColumn id="2" xr3:uid="{48A15187-EE4E-4F5E-9742-2FD7D43D7091}" name="Custo " totalsRowFunction="custom" dataDxfId="797" totalsRowDxfId="796">
      <totalsRowFormula>SUM(Seguro4558715183144[[Custo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5D04909-565E-4C22-8FD9-09991745E331}" name="Alimentação4861746193245" displayName="Alimentação4861746193245" ref="B102:C108" totalsRowCount="1" headerRowDxfId="795" dataDxfId="794" totalsRowDxfId="793">
  <tableColumns count="2">
    <tableColumn id="1" xr3:uid="{A16E204D-0AE9-45EB-82A8-033B39E7C886}" name="ALIMENTAÇÃO" totalsRowLabel="Subtotal" dataDxfId="792" totalsRowDxfId="791">
      <calculatedColumnFormula>Alimentação486174[[#This Row],[ALIMENTAÇÃO]]</calculatedColumnFormula>
    </tableColumn>
    <tableColumn id="2" xr3:uid="{DE2A2DBA-E61E-4980-B83E-E5AD58A52ADF}" name="Custo " totalsRowFunction="custom" dataDxfId="790" totalsRowDxfId="789">
      <totalsRowFormula>SUM(Alimentação4861746193245[[Custo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E8C9A6E-005E-4F62-8EFF-E3BBDDA9F884}" name="Presentes4962757203346" displayName="Presentes4962757203346" ref="H72:I76" totalsRowCount="1" headerRowDxfId="788" dataDxfId="787" totalsRowDxfId="786">
  <autoFilter ref="H72:I75" xr:uid="{00000000-0009-0000-0100-000009000000}">
    <filterColumn colId="0" hiddenButton="1"/>
    <filterColumn colId="1" hiddenButton="1"/>
  </autoFilter>
  <tableColumns count="2">
    <tableColumn id="1" xr3:uid="{8BDD57C4-057B-416A-8788-83C283C74A00}" name="PRESENTES E DOAÇÕES" totalsRowLabel="Subtotal" dataDxfId="785" totalsRowDxfId="784">
      <calculatedColumnFormula>Presentes496275[[#This Row],[PRESENTES E DOAÇÕES]]</calculatedColumnFormula>
    </tableColumn>
    <tableColumn id="2" xr3:uid="{472EBFDF-CA60-4E53-A51E-42630EC677AD}" name="Custo " totalsRowFunction="custom" dataDxfId="783" totalsRowDxfId="782">
      <totalsRowFormula>SUM(Presentes4962757203346[[Custo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D1C3F2F4-0F33-4BE8-A105-FC7CB0471B99}" name="Alimentação486174" displayName="Alimentação486174" ref="B102:C108" totalsRowCount="1" headerRowDxfId="1207" dataDxfId="1206" totalsRowDxfId="1205">
  <tableColumns count="2">
    <tableColumn id="1" xr3:uid="{374074D9-2ACE-4353-82ED-8CCDDC049A47}" name="ALIMENTAÇÃO" totalsRowLabel="Subtotal" dataDxfId="1204" totalsRowDxfId="1203"/>
    <tableColumn id="2" xr3:uid="{3BF20F99-69A7-4F33-8A36-AC9F4FCDD43B}" name="Custo " totalsRowFunction="custom" dataDxfId="1202" totalsRowDxfId="1201">
      <totalsRowFormula>SUM(Alimentação486174[[Custo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A2F54EE-A5AB-4B89-BF4A-21AB4932DE44}" name="Animais_de_estimação5063768213447" displayName="Animais_de_estimação5063768213447" ref="H85:I91" totalsRowCount="1" headerRowDxfId="781" dataDxfId="780" totalsRowDxfId="779">
  <tableColumns count="2">
    <tableColumn id="1" xr3:uid="{C1980CAB-0B17-4521-91FE-0511F2047684}" name="ANIMAIS DE ESTIMAÇÃO" totalsRowLabel="Subtotal" dataDxfId="778" totalsRowDxfId="777">
      <calculatedColumnFormula>Animais_de_estimação506376[[#This Row],[ANIMAIS DE ESTIMAÇÃO]]</calculatedColumnFormula>
    </tableColumn>
    <tableColumn id="2" xr3:uid="{D438B39E-5274-4F37-A817-0221CFA3CEE9}" name="Custo " totalsRowFunction="custom" dataDxfId="776" totalsRowDxfId="775">
      <totalsRowFormula>SUM(Animais_de_estimação5063768213447[[Custo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1B7CD7E-F786-4156-9909-31A84745E05E}" name="Assessoria_jurídica5164779223548" displayName="Assessoria_jurídica5164779223548" ref="H78:I83" totalsRowCount="1" headerRowDxfId="774" dataDxfId="773" totalsRowDxfId="772">
  <tableColumns count="2">
    <tableColumn id="1" xr3:uid="{F87D1DEC-E470-4969-9C2B-E794D9E70DE2}" name="ASSESSORIA JURÍDICA" totalsRowLabel="Subtotal" dataDxfId="771" totalsRowDxfId="770">
      <calculatedColumnFormula>Assessoria_jurídica516477[[#This Row],[ASSESSORIA JURÍDICA]]</calculatedColumnFormula>
    </tableColumn>
    <tableColumn id="2" xr3:uid="{9D09EEC7-FB84-4595-BEF5-8FDE4A3EE38A}" name="Custo " totalsRowFunction="custom" dataDxfId="769" totalsRowDxfId="768">
      <totalsRowFormula>SUM(Assessoria_jurídica5164779223548[[Custo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ACCE666-668D-4A06-B7D1-BF370DCA563D}" name="Tabela1353667910233649" displayName="Tabela1353667910233649" ref="C34:R63" totalsRowShown="0" headerRowDxfId="767" dataDxfId="766" tableBorderDxfId="765" dataCellStyle="Título 2">
  <tableColumns count="16">
    <tableColumn id="1" xr3:uid="{8C3F27E2-5A09-456C-950A-41D656964DA2}" name="Nome do paciente " dataDxfId="764" dataCellStyle="Título 2"/>
    <tableColumn id="2" xr3:uid="{643E0D97-044C-4503-8143-F4C4F461E37E}" name="Telefone" dataDxfId="763" dataCellStyle="Título 2"/>
    <tableColumn id="3" xr3:uid="{DC2BDDBA-C198-44EA-A9B6-95ECC2B64A2E}" name="Email" dataDxfId="762"/>
    <tableColumn id="4" xr3:uid="{6746F240-E312-4808-B5BF-32EF2E6691E1}" name="Total/mês" dataDxfId="761" dataCellStyle="Título 2">
      <calculatedColumnFormula>SUM(Tabela1353667910233649[[#This Row],[Valor cobrado por sessão]]*Tabela1353667910233649[[#This Row],[Número sessão/mês]])</calculatedColumnFormula>
    </tableColumn>
    <tableColumn id="5" xr3:uid="{F1D16FFF-3ADB-452F-B61B-C87A734472B1}" name="Valor cobrado por sessão" dataDxfId="760" dataCellStyle="Título 2"/>
    <tableColumn id="6" xr3:uid="{C0F82F23-2215-4B9D-81B0-D0DD6A4C04A2}" name="Número sessão/mês" dataDxfId="759" dataCellStyle="Título 2"/>
    <tableColumn id="7" xr3:uid="{F55752BA-BD38-4A88-9769-118EA8D581A6}" name="Semana 1" dataDxfId="758" dataCellStyle="Título 2"/>
    <tableColumn id="8" xr3:uid="{EAF18300-361C-4F04-803D-48589D376CFF}" name="Pago" dataDxfId="757" dataCellStyle="Título 2"/>
    <tableColumn id="9" xr3:uid="{A63D301F-F876-4D23-B6E6-05AFD1E58188}" name="Semana 2" dataDxfId="756" dataCellStyle="Título 2"/>
    <tableColumn id="10" xr3:uid="{E91B3D3D-313A-49BB-BBCB-853B61CACB90}" name="Pago2" dataDxfId="755" dataCellStyle="Título 2"/>
    <tableColumn id="11" xr3:uid="{081D4F04-BF19-480A-87D6-D30C7F9FE35E}" name="Semana 3" dataDxfId="754" dataCellStyle="Título 2"/>
    <tableColumn id="12" xr3:uid="{F9089A7D-523D-4E06-A2C4-80C13ED15CD3}" name="Pago3" dataDxfId="753" dataCellStyle="Título 2"/>
    <tableColumn id="13" xr3:uid="{148A17FD-BD5F-40F0-B842-6BB69E0FAF92}" name="Semana 4" dataDxfId="752" dataCellStyle="Título 2"/>
    <tableColumn id="14" xr3:uid="{27D67931-67AB-4A81-8F36-1F18B1A9EF29}" name="Pago4" dataDxfId="751" dataCellStyle="Título 2"/>
    <tableColumn id="15" xr3:uid="{F17883E0-2A08-4666-ACC4-5F7951B53381}" name="Semana 5" dataDxfId="750" dataCellStyle="Título 2"/>
    <tableColumn id="16" xr3:uid="{6C034A3B-2F2E-4563-974D-2830DD130DE2}" name="Pago5" dataDxfId="749" dataCellStyle="Título 2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28D2E1D-B8C7-43FF-958D-BE12DBB7B24B}" name="Poupança47607323611243750" displayName="Poupança47607323611243750" ref="E102:F108" totalsRowCount="1" headerRowDxfId="748" dataDxfId="747" totalsRowDxfId="746">
  <tableColumns count="2">
    <tableColumn id="1" xr3:uid="{9EA646E0-1910-44C4-AD03-34AF82B88644}" name="POUPANÇAS OU INVESTIMENTOS" totalsRowLabel="Subtotal" dataDxfId="745" totalsRowDxfId="744">
      <calculatedColumnFormula>Poupança476073236[[#This Row],[POUPANÇAS OU INVESTIMENTOS]]</calculatedColumnFormula>
    </tableColumn>
    <tableColumn id="2" xr3:uid="{9AB969EF-A1E4-41F0-9735-2FCD241AC4A2}" name="Custo " totalsRowFunction="custom" dataDxfId="743" totalsRowDxfId="742">
      <totalsRowFormula>SUM(Poupança47607323611243750[[Custo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D3D3B47-E438-4AFA-A96D-EF36FEF5A855}" name="Empréstimos43566912253851" displayName="Empréstimos43566912253851" ref="H93:I100" totalsRowCount="1" headerRowDxfId="741" dataDxfId="740" totalsRowDxfId="739">
  <tableColumns count="2">
    <tableColumn id="1" xr3:uid="{31CC40F3-A591-4C34-8385-98CEFF052909}" name="EMPRÉSTIMOS" totalsRowLabel="Subtotal" dataDxfId="738" totalsRowDxfId="737">
      <calculatedColumnFormula>Empréstimos435669[[#This Row],[EMPRÉSTIMOS]]</calculatedColumnFormula>
    </tableColumn>
    <tableColumn id="2" xr3:uid="{E1CA6FA2-3200-456F-9821-C6B2D769B0F7}" name="Custo " totalsRowFunction="custom" dataDxfId="736" totalsRowDxfId="735">
      <totalsRowFormula>SUM(Empréstimos43566912253851[[Custo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D3B1391-9292-401A-87C8-0E7E3F6DC6E7}" name="Impostos46597213263952" displayName="Impostos46597213263952" ref="H102:I107" totalsRowCount="1" headerRowDxfId="734" dataDxfId="733" totalsRowDxfId="732">
  <tableColumns count="2">
    <tableColumn id="1" xr3:uid="{1B634F36-B5A0-43FD-9729-46A8C4F7A1B5}" name="IMPOSTOS" totalsRowLabel="Subtotal" dataDxfId="731" totalsRowDxfId="730">
      <calculatedColumnFormula>Impostos465972[[#This Row],[IMPOSTOS]]</calculatedColumnFormula>
    </tableColumn>
    <tableColumn id="2" xr3:uid="{569A8F82-AE29-46E6-9265-1540DC21563A}" name="Custo " totalsRowFunction="custom" dataDxfId="729" totalsRowDxfId="728">
      <totalsRowFormula>SUM(Impostos46597213263952[[Custo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E26BC0F-7BA5-47DC-A48F-AB0193EFEFB6}" name="CuidadosPessoais52657824114274053" displayName="CuidadosPessoais52657824114274053" ref="E85:F100" totalsRowCount="1" headerRowDxfId="727" dataDxfId="726" totalsRowDxfId="725">
  <tableColumns count="2">
    <tableColumn id="1" xr3:uid="{E22C5E10-2926-4671-8187-6688235908B3}" name="CUIDADOS PESSOAIS" totalsRowLabel="Subtotal" dataDxfId="724" totalsRowDxfId="723">
      <calculatedColumnFormula>CuidadosPessoais526578241[[#This Row],[CUIDADOS PESSOAIS]]</calculatedColumnFormula>
    </tableColumn>
    <tableColumn id="2" xr3:uid="{E1B97BCC-9EBB-4583-BDB8-2FE6410BD7F8}" name="Custo " totalsRowFunction="custom" dataDxfId="722" totalsRowDxfId="721">
      <totalsRowFormula>SUM(CuidadosPessoais52657824114274053[[Custo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D807A48-3ADB-4091-9CB2-007D55009952}" name="Moradia415467215284154" displayName="Moradia415467215284154" ref="B72:C83" totalsRowCount="1" headerRowDxfId="720" dataDxfId="719" totalsRowDxfId="718">
  <tableColumns count="2">
    <tableColumn id="1" xr3:uid="{1B30263B-F7CF-42F6-A71D-BF5B2CD7B43F}" name="MORADIA" totalsRowLabel="Subtotal" dataDxfId="717" totalsRowDxfId="716">
      <calculatedColumnFormula>Moradia415467[[#This Row],[MORADIA]]</calculatedColumnFormula>
    </tableColumn>
    <tableColumn id="2" xr3:uid="{6FE606E1-8623-4A9C-A892-1C274392EA75}" name="Custo " totalsRowFunction="custom" dataDxfId="715" totalsRowDxfId="714">
      <totalsRowFormula>SUM(Moradia415467215284154[[Custo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A0F95EE-B336-43BB-B8DD-C9B33A4E8AF6}" name="Entretenimento425568316294255" displayName="Entretenimento425568316294255" ref="E72:F83" totalsRowCount="1" headerRowDxfId="713" dataDxfId="712" totalsRowDxfId="711">
  <tableColumns count="2">
    <tableColumn id="1" xr3:uid="{2C7A26F2-C9B8-4D82-AB49-7A99065BCB04}" name="ENTRETENIMENTO" totalsRowLabel="Subtotal" dataDxfId="710" totalsRowDxfId="709">
      <calculatedColumnFormula>Entretenimento425568[[#This Row],[ENTRETENIMENTO]]</calculatedColumnFormula>
    </tableColumn>
    <tableColumn id="3" xr3:uid="{D9FB9977-FCE6-4118-9BD1-A67BBFAF0927}" name="Custo " totalsRowFunction="custom" dataDxfId="708" totalsRowDxfId="707">
      <totalsRowFormula>SUM(Entretenimento425568316294255[[Custo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FC4AD44-48C1-42C9-9C2D-E9CE6A0907EB}" name="Transporte445770417304356" displayName="Transporte445770417304356" ref="B85:C93" totalsRowCount="1" headerRowDxfId="706" dataDxfId="705" totalsRowDxfId="704">
  <tableColumns count="2">
    <tableColumn id="1" xr3:uid="{EA35626D-CF28-4FD0-A71A-2A32EA38E20E}" name="TRANSPORTE" totalsRowLabel="Subtotal" dataDxfId="703" totalsRowDxfId="702">
      <calculatedColumnFormula>Transporte445770[[#This Row],[TRANSPORTE]]</calculatedColumnFormula>
    </tableColumn>
    <tableColumn id="2" xr3:uid="{A7FCCDB9-45A6-4E97-983B-4F3B50202CE0}" name="Custo " totalsRowFunction="custom" dataDxfId="701" totalsRowDxfId="700">
      <totalsRowFormula>SUM(Transporte445770417304356[[Custo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60D23BA4-63AE-4808-B60E-E9F6C0DE9085}" name="Presentes496275" displayName="Presentes496275" ref="H72:I76" totalsRowCount="1" headerRowDxfId="1200" dataDxfId="1199" totalsRowDxfId="1198">
  <autoFilter ref="H72:I75" xr:uid="{00000000-0009-0000-0100-000009000000}">
    <filterColumn colId="0" hiddenButton="1"/>
    <filterColumn colId="1" hiddenButton="1"/>
  </autoFilter>
  <tableColumns count="2">
    <tableColumn id="1" xr3:uid="{47CD949C-D8F9-4608-A346-9817262BD34B}" name="PRESENTES E DOAÇÕES" totalsRowLabel="Subtotal" dataDxfId="1197" totalsRowDxfId="1196"/>
    <tableColumn id="2" xr3:uid="{D6835788-FFC3-406A-925B-6DD79D55DF34}" name="Custo " totalsRowFunction="custom" dataDxfId="1195" totalsRowDxfId="1194">
      <totalsRowFormula>SUM(Presentes496275[[Custo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5973FFE-8D9B-4833-A2E6-CF303828DEE8}" name="Seguro455871518314457" displayName="Seguro455871518314457" ref="B95:C100" totalsRowCount="1" headerRowDxfId="699" dataDxfId="698" totalsRowDxfId="697">
  <tableColumns count="2">
    <tableColumn id="1" xr3:uid="{D17D3D64-0191-4080-8B01-025DCFEF9B4E}" name="SEGURO" totalsRowLabel="Subtotal" dataDxfId="696" totalsRowDxfId="695">
      <calculatedColumnFormula>Seguro455871[[#This Row],[SEGURO]]</calculatedColumnFormula>
    </tableColumn>
    <tableColumn id="2" xr3:uid="{B6E1323B-0121-40A1-B086-3624C0FB6E3E}" name="Custo " totalsRowFunction="custom" dataDxfId="694" totalsRowDxfId="693">
      <totalsRowFormula>SUM(Seguro455871518314457[[Custo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856A1E4-CD13-4792-B9E2-841596C0B8C5}" name="Alimentação486174619324558" displayName="Alimentação486174619324558" ref="B102:C108" totalsRowCount="1" headerRowDxfId="692" dataDxfId="691" totalsRowDxfId="690">
  <tableColumns count="2">
    <tableColumn id="1" xr3:uid="{978AD736-2EA9-4E11-9FC6-128F77112EBA}" name="ALIMENTAÇÃO" totalsRowLabel="Subtotal" dataDxfId="689" totalsRowDxfId="688">
      <calculatedColumnFormula>Alimentação486174[[#This Row],[ALIMENTAÇÃO]]</calculatedColumnFormula>
    </tableColumn>
    <tableColumn id="2" xr3:uid="{DB070432-D8BA-4245-BD2B-6ADA1D5DABBB}" name="Custo " totalsRowFunction="custom" dataDxfId="687" totalsRowDxfId="686">
      <totalsRowFormula>SUM(Alimentação486174619324558[[Custo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29E6F8E-49EA-4E9C-8AEC-E131E55A6CE8}" name="Presentes496275720334659" displayName="Presentes496275720334659" ref="H72:I76" totalsRowCount="1" headerRowDxfId="685" dataDxfId="684" totalsRowDxfId="683">
  <autoFilter ref="H72:I75" xr:uid="{00000000-0009-0000-0100-000009000000}">
    <filterColumn colId="0" hiddenButton="1"/>
    <filterColumn colId="1" hiddenButton="1"/>
  </autoFilter>
  <tableColumns count="2">
    <tableColumn id="1" xr3:uid="{78BCB8C7-B8C7-4C88-81F8-314237936EBC}" name="PRESENTES E DOAÇÕES" totalsRowLabel="Subtotal" dataDxfId="682" totalsRowDxfId="681">
      <calculatedColumnFormula>Presentes496275[[#This Row],[PRESENTES E DOAÇÕES]]</calculatedColumnFormula>
    </tableColumn>
    <tableColumn id="2" xr3:uid="{D4241C80-60D1-4F48-821F-CD0BFFD7A20E}" name="Custo " totalsRowFunction="custom" dataDxfId="680" totalsRowDxfId="679">
      <totalsRowFormula>SUM(Presentes496275720334659[[Custo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F2E0676-26B2-4D8E-BAB9-0C568D53B7AA}" name="Animais_de_estimação506376821344760" displayName="Animais_de_estimação506376821344760" ref="H85:I91" totalsRowCount="1" headerRowDxfId="678" dataDxfId="677" totalsRowDxfId="676">
  <tableColumns count="2">
    <tableColumn id="1" xr3:uid="{20CD0D6F-60F0-43F0-8787-A853CC4B970D}" name="ANIMAIS DE ESTIMAÇÃO" totalsRowLabel="Subtotal" dataDxfId="675" totalsRowDxfId="674">
      <calculatedColumnFormula>Animais_de_estimação506376[[#This Row],[ANIMAIS DE ESTIMAÇÃO]]</calculatedColumnFormula>
    </tableColumn>
    <tableColumn id="2" xr3:uid="{7ED5F7B8-6294-429A-893A-8BE0340B6B8A}" name="Custo " totalsRowFunction="custom" dataDxfId="673" totalsRowDxfId="672">
      <totalsRowFormula>SUM(Animais_de_estimação506376821344760[[Custo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4717703-7081-4FF9-8B9D-6A829F0AC325}" name="Assessoria_jurídica516477922354861" displayName="Assessoria_jurídica516477922354861" ref="H78:I83" totalsRowCount="1" headerRowDxfId="671" dataDxfId="670" totalsRowDxfId="669">
  <tableColumns count="2">
    <tableColumn id="1" xr3:uid="{02159960-FA4B-4C4B-8CF8-19D843280958}" name="ASSESSORIA JURÍDICA" totalsRowLabel="Subtotal" dataDxfId="668" totalsRowDxfId="667">
      <calculatedColumnFormula>Assessoria_jurídica516477[[#This Row],[ASSESSORIA JURÍDICA]]</calculatedColumnFormula>
    </tableColumn>
    <tableColumn id="2" xr3:uid="{81D09D4D-66F8-43D2-BA0D-BF02F7962F5F}" name="Custo " totalsRowFunction="custom" dataDxfId="666" totalsRowDxfId="665">
      <totalsRowFormula>SUM(Assessoria_jurídica516477922354861[[Custo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9399459-E3F7-40F1-8D10-59D1362D6A74}" name="Tabela135366791023364962" displayName="Tabela135366791023364962" ref="C34:R63" totalsRowShown="0" headerRowDxfId="664" dataDxfId="663" tableBorderDxfId="662" dataCellStyle="Título 2">
  <tableColumns count="16">
    <tableColumn id="1" xr3:uid="{843F2DD4-42CF-47D6-8925-6D93F7A0FFC8}" name="Nome do paciente " dataDxfId="661" dataCellStyle="Título 2"/>
    <tableColumn id="2" xr3:uid="{A7495913-7EDB-4A80-9C92-9AE18B895AD5}" name="Telefone" dataDxfId="660" dataCellStyle="Título 2"/>
    <tableColumn id="3" xr3:uid="{57751CC6-A793-4E09-8D73-EFF26C76A814}" name="Email" dataDxfId="659"/>
    <tableColumn id="4" xr3:uid="{93BCCB6F-8E3D-41D5-BD73-BE06270AE60A}" name="Total/mês" dataDxfId="658" dataCellStyle="Título 2">
      <calculatedColumnFormula>SUM(Tabela135366791023364962[[#This Row],[Valor cobrado por sessão]]*Tabela135366791023364962[[#This Row],[Número sessão/mês]])</calculatedColumnFormula>
    </tableColumn>
    <tableColumn id="5" xr3:uid="{C65F5286-9636-48FB-9367-8C8BD1D7CA96}" name="Valor cobrado por sessão" dataDxfId="657" dataCellStyle="Título 2"/>
    <tableColumn id="6" xr3:uid="{C791C185-04DC-48D1-94B5-256FC17E0870}" name="Número sessão/mês" dataDxfId="656" dataCellStyle="Título 2"/>
    <tableColumn id="7" xr3:uid="{4D4CC651-530F-4D4B-9916-4D672957FA9D}" name="Semana 1" dataDxfId="655" dataCellStyle="Título 2"/>
    <tableColumn id="8" xr3:uid="{91759F4F-1C39-4AA1-AE51-DABB08C51365}" name="Pago" dataDxfId="654" dataCellStyle="Título 2"/>
    <tableColumn id="9" xr3:uid="{8EBB719E-9D63-4D61-B02C-DFBAB28A1852}" name="Semana 2" dataDxfId="653" dataCellStyle="Título 2"/>
    <tableColumn id="10" xr3:uid="{7EA8FF4D-34F3-4983-8B50-2B678DB7F2EC}" name="Pago2" dataDxfId="652" dataCellStyle="Título 2"/>
    <tableColumn id="11" xr3:uid="{8F4B64B1-5EFC-46BC-A6D7-84AE332CA23D}" name="Semana 3" dataDxfId="651" dataCellStyle="Título 2"/>
    <tableColumn id="12" xr3:uid="{8B480DD5-1F40-4374-977D-2991611212ED}" name="Pago3" dataDxfId="650" dataCellStyle="Título 2"/>
    <tableColumn id="13" xr3:uid="{3520F5E9-7BB8-4FAA-8098-0FDBFD3A38CC}" name="Semana 4" dataDxfId="649" dataCellStyle="Título 2"/>
    <tableColumn id="14" xr3:uid="{E17E3408-B378-43AF-9E9D-3E9D500133C5}" name="Pago4" dataDxfId="648" dataCellStyle="Título 2"/>
    <tableColumn id="15" xr3:uid="{9BEC3810-14C9-455B-B2E0-AE7902DA36B1}" name="Semana 5" dataDxfId="647" dataCellStyle="Título 2"/>
    <tableColumn id="16" xr3:uid="{33A89152-A5BB-451B-8FBA-0ADA3BC92CB7}" name="Pago5" dataDxfId="646" dataCellStyle="Título 2"/>
  </tableColumns>
  <tableStyleInfo name="TableStyleLight1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D960743-71AA-4A8A-A524-A5ED0C095E09}" name="Poupança4760732361124375063" displayName="Poupança4760732361124375063" ref="E102:F108" totalsRowCount="1" headerRowDxfId="645" dataDxfId="644" totalsRowDxfId="643">
  <tableColumns count="2">
    <tableColumn id="1" xr3:uid="{530E4E9A-2B57-499B-AAF1-AEF0F4A3D516}" name="POUPANÇAS OU INVESTIMENTOS" totalsRowLabel="Subtotal" dataDxfId="642" totalsRowDxfId="641">
      <calculatedColumnFormula>Poupança476073236[[#This Row],[POUPANÇAS OU INVESTIMENTOS]]</calculatedColumnFormula>
    </tableColumn>
    <tableColumn id="2" xr3:uid="{3569C2BB-E64B-4A46-8301-AB488F7C8194}" name="Custo " totalsRowFunction="custom" dataDxfId="640" totalsRowDxfId="639">
      <totalsRowFormula>SUM(Poupança4760732361124375063[[Custo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3888383-D2CD-4F19-B950-0F6DE160EA11}" name="Empréstimos4356691225385164" displayName="Empréstimos4356691225385164" ref="H93:I100" totalsRowCount="1" headerRowDxfId="638" dataDxfId="637" totalsRowDxfId="636">
  <tableColumns count="2">
    <tableColumn id="1" xr3:uid="{AC75065A-74D1-49A3-8F8B-7F315D864D0C}" name="EMPRÉSTIMOS" totalsRowLabel="Subtotal" dataDxfId="635" totalsRowDxfId="634">
      <calculatedColumnFormula>Empréstimos435669[[#This Row],[EMPRÉSTIMOS]]</calculatedColumnFormula>
    </tableColumn>
    <tableColumn id="2" xr3:uid="{B08982E3-519F-4E3D-B8B0-3C2662E1786C}" name="Custo " totalsRowFunction="custom" dataDxfId="633" totalsRowDxfId="632">
      <totalsRowFormula>SUM(Empréstimos4356691225385164[[Custo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F749E84-2996-41D8-AF25-242E47D68D0C}" name="Impostos4659721326395265" displayName="Impostos4659721326395265" ref="H102:I107" totalsRowCount="1" headerRowDxfId="631" dataDxfId="630" totalsRowDxfId="629">
  <tableColumns count="2">
    <tableColumn id="1" xr3:uid="{A4177C57-775F-4C2A-8A48-4D3443CB4C33}" name="IMPOSTOS" totalsRowLabel="Subtotal" dataDxfId="628" totalsRowDxfId="627">
      <calculatedColumnFormula>Impostos465972[[#This Row],[IMPOSTOS]]</calculatedColumnFormula>
    </tableColumn>
    <tableColumn id="2" xr3:uid="{1AF6AF21-04F3-4A0C-91C3-227D3B687438}" name="Custo " totalsRowFunction="custom" dataDxfId="626" totalsRowDxfId="625">
      <totalsRowFormula>SUM(Impostos4659721326395265[[Custo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389FF7E-0987-4967-9B66-8A38ECD49434}" name="CuidadosPessoais5265782411427405366" displayName="CuidadosPessoais5265782411427405366" ref="E85:F100" totalsRowCount="1" headerRowDxfId="624" dataDxfId="623" totalsRowDxfId="622">
  <tableColumns count="2">
    <tableColumn id="1" xr3:uid="{65AA5CB7-2C23-4164-A019-0BB53F69EFAE}" name="CUIDADOS PESSOAIS" totalsRowLabel="Subtotal" dataDxfId="621" totalsRowDxfId="620">
      <calculatedColumnFormula>CuidadosPessoais526578241[[#This Row],[CUIDADOS PESSOAIS]]</calculatedColumnFormula>
    </tableColumn>
    <tableColumn id="2" xr3:uid="{2CE48114-446C-4B14-B587-280E5E59364C}" name="Custo " totalsRowFunction="custom" dataDxfId="619" totalsRowDxfId="618">
      <totalsRowFormula>SUM(CuidadosPessoais5265782411427405366[[Custo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C6039914-2468-4982-B084-35A8CB7C2BC4}" name="Animais_de_estimação506376" displayName="Animais_de_estimação506376" ref="H85:I91" totalsRowCount="1" headerRowDxfId="1193" dataDxfId="1192" totalsRowDxfId="1191">
  <tableColumns count="2">
    <tableColumn id="1" xr3:uid="{13235A71-FDEE-4EDF-8ABA-9B4A0A87EBF9}" name="ANIMAIS DE ESTIMAÇÃO" totalsRowLabel="Subtotal" dataDxfId="1190" totalsRowDxfId="1189"/>
    <tableColumn id="2" xr3:uid="{CB262D85-41D9-47FE-B441-8D8047CD06BF}" name="Custo " totalsRowFunction="custom" dataDxfId="1188" totalsRowDxfId="1187">
      <totalsRowFormula>SUM(Animais_de_estimação506376[[Custo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B861A2B-0643-4DFD-8E25-62C59CE244BA}" name="Moradia41546721528415473" displayName="Moradia41546721528415473" ref="B72:C83" totalsRowCount="1" headerRowDxfId="617" dataDxfId="616" totalsRowDxfId="615">
  <tableColumns count="2">
    <tableColumn id="1" xr3:uid="{448E70E9-B59E-41C7-B7F3-96785B3EBF81}" name="MORADIA" totalsRowLabel="Subtotal" dataDxfId="614" totalsRowDxfId="613">
      <calculatedColumnFormula>Moradia415467[[#This Row],[MORADIA]]</calculatedColumnFormula>
    </tableColumn>
    <tableColumn id="2" xr3:uid="{3F035E34-EC37-49A2-9170-72F9EB5BA086}" name="Custo " totalsRowFunction="custom" dataDxfId="612" totalsRowDxfId="611">
      <totalsRowFormula>SUM(Moradia41546721528415473[[Custo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2F78A0AE-B56E-422B-B2CB-9C3784E5D88F}" name="Entretenimento42556831629425578" displayName="Entretenimento42556831629425578" ref="E72:F83" totalsRowCount="1" headerRowDxfId="610" dataDxfId="609" totalsRowDxfId="608">
  <tableColumns count="2">
    <tableColumn id="1" xr3:uid="{F88B5EF8-85CF-4E34-BF2A-D4399A1675F3}" name="ENTRETENIMENTO" totalsRowLabel="Subtotal" dataDxfId="607" totalsRowDxfId="606">
      <calculatedColumnFormula>Entretenimento425568[[#This Row],[ENTRETENIMENTO]]</calculatedColumnFormula>
    </tableColumn>
    <tableColumn id="3" xr3:uid="{BF87DA0B-DC4C-4687-A458-8FD9D1265496}" name="Custo " totalsRowFunction="custom" dataDxfId="605" totalsRowDxfId="604">
      <totalsRowFormula>SUM(Entretenimento42556831629425578[[Custo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EE531939-6F1B-46C5-8D78-08E4C16DBA44}" name="Transporte44577041730435680" displayName="Transporte44577041730435680" ref="B85:C93" totalsRowCount="1" headerRowDxfId="603" dataDxfId="602" totalsRowDxfId="601">
  <tableColumns count="2">
    <tableColumn id="1" xr3:uid="{DA82E5D1-2549-427D-BC61-E22C4A4E80B6}" name="TRANSPORTE" totalsRowLabel="Subtotal" dataDxfId="600" totalsRowDxfId="599">
      <calculatedColumnFormula>Transporte445770[[#This Row],[TRANSPORTE]]</calculatedColumnFormula>
    </tableColumn>
    <tableColumn id="2" xr3:uid="{7D1CEA81-6F62-4CB0-A489-6482234C7757}" name="Custo " totalsRowFunction="custom" dataDxfId="598" totalsRowDxfId="597">
      <totalsRowFormula>SUM(Transporte44577041730435680[[Custo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11234EC-D1B7-4603-97CB-A40D0C2C7273}" name="Seguro45587151831445781" displayName="Seguro45587151831445781" ref="B95:C100" totalsRowCount="1" headerRowDxfId="596" dataDxfId="595" totalsRowDxfId="594">
  <tableColumns count="2">
    <tableColumn id="1" xr3:uid="{E0DEAA5A-EB54-43DE-9C9E-A2E6B5250B38}" name="SEGURO" totalsRowLabel="Subtotal" dataDxfId="593" totalsRowDxfId="592">
      <calculatedColumnFormula>Seguro455871[[#This Row],[SEGURO]]</calculatedColumnFormula>
    </tableColumn>
    <tableColumn id="2" xr3:uid="{B76F2361-733F-458B-A03C-A30D45EC0ACA}" name="Custo " totalsRowFunction="custom" dataDxfId="591" totalsRowDxfId="590">
      <totalsRowFormula>SUM(Seguro45587151831445781[[Custo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42E2CDC-4488-4018-8D8E-A5034B11838E}" name="Alimentação48617461932455882" displayName="Alimentação48617461932455882" ref="B102:C108" totalsRowCount="1" headerRowDxfId="589" dataDxfId="588" totalsRowDxfId="587">
  <tableColumns count="2">
    <tableColumn id="1" xr3:uid="{C90C14B5-AD80-40C9-9AEB-F4793EF49336}" name="ALIMENTAÇÃO" totalsRowLabel="Subtotal" dataDxfId="586" totalsRowDxfId="585">
      <calculatedColumnFormula>Alimentação486174[[#This Row],[ALIMENTAÇÃO]]</calculatedColumnFormula>
    </tableColumn>
    <tableColumn id="2" xr3:uid="{ECC33033-84C8-4BFC-BAC0-06DAF697D9D3}" name="Custo " totalsRowFunction="custom" dataDxfId="584" totalsRowDxfId="583">
      <totalsRowFormula>SUM(Alimentação48617461932455882[[Custo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588ED74-5C54-4F2C-A976-0514127B4D87}" name="Presentes49627572033465983" displayName="Presentes49627572033465983" ref="H72:I76" totalsRowCount="1" headerRowDxfId="582" dataDxfId="581" totalsRowDxfId="580">
  <autoFilter ref="H72:I75" xr:uid="{00000000-0009-0000-0100-000009000000}">
    <filterColumn colId="0" hiddenButton="1"/>
    <filterColumn colId="1" hiddenButton="1"/>
  </autoFilter>
  <tableColumns count="2">
    <tableColumn id="1" xr3:uid="{0E2360DD-1096-495E-AC12-20ECFEA9DB11}" name="PRESENTES E DOAÇÕES" totalsRowLabel="Subtotal" dataDxfId="579" totalsRowDxfId="578">
      <calculatedColumnFormula>Presentes496275[[#This Row],[PRESENTES E DOAÇÕES]]</calculatedColumnFormula>
    </tableColumn>
    <tableColumn id="2" xr3:uid="{63060D63-82FE-46CC-870A-8BBD5D579952}" name="Custo " totalsRowFunction="custom" dataDxfId="577" totalsRowDxfId="576">
      <totalsRowFormula>SUM(Presentes49627572033465983[[Custo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F9AED23-B7BA-4070-A1EF-395C59B87A95}" name="Animais_de_estimação50637682134476084" displayName="Animais_de_estimação50637682134476084" ref="H85:I91" totalsRowCount="1" headerRowDxfId="575" dataDxfId="574" totalsRowDxfId="573">
  <tableColumns count="2">
    <tableColumn id="1" xr3:uid="{388CA4DD-2FED-4941-9D5F-C1BECCB48B24}" name="ANIMAIS DE ESTIMAÇÃO" totalsRowLabel="Subtotal" dataDxfId="572" totalsRowDxfId="571">
      <calculatedColumnFormula>Animais_de_estimação506376[[#This Row],[ANIMAIS DE ESTIMAÇÃO]]</calculatedColumnFormula>
    </tableColumn>
    <tableColumn id="2" xr3:uid="{A2FFE927-11A9-4639-BD27-D3B2E93F5B70}" name="Custo " totalsRowFunction="custom" dataDxfId="570" totalsRowDxfId="569">
      <totalsRowFormula>SUM(Animais_de_estimação50637682134476084[[Custo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6449BD6-7F3F-4559-B551-FAD43C9A4917}" name="Assessoria_jurídica51647792235486185" displayName="Assessoria_jurídica51647792235486185" ref="H78:I83" totalsRowCount="1" headerRowDxfId="568" dataDxfId="567" totalsRowDxfId="566">
  <tableColumns count="2">
    <tableColumn id="1" xr3:uid="{DFD25957-11A1-4858-A314-FFB96D6BC0FB}" name="ASSESSORIA JURÍDICA" totalsRowLabel="Subtotal" dataDxfId="565" totalsRowDxfId="564">
      <calculatedColumnFormula>Assessoria_jurídica516477[[#This Row],[ASSESSORIA JURÍDICA]]</calculatedColumnFormula>
    </tableColumn>
    <tableColumn id="2" xr3:uid="{AD585633-F437-48C1-BB1C-F0D4D1B1B2C5}" name="Custo " totalsRowFunction="custom" dataDxfId="563" totalsRowDxfId="562">
      <totalsRowFormula>SUM(Assessoria_jurídica51647792235486185[[Custo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F208F7A-A5D2-4D63-A88B-FBFBFC8ED72D}" name="Tabela13536679102336496286" displayName="Tabela13536679102336496286" ref="C34:R63" totalsRowShown="0" headerRowDxfId="561" dataDxfId="560" tableBorderDxfId="559" dataCellStyle="Título 2">
  <tableColumns count="16">
    <tableColumn id="1" xr3:uid="{87F28AA1-EEC2-4B26-A743-3C76FF70EA31}" name="Nome do paciente " dataDxfId="558" dataCellStyle="Título 2"/>
    <tableColumn id="2" xr3:uid="{479524F2-1BDD-4F04-8467-5755C2E513D0}" name="Telefone" dataDxfId="557" dataCellStyle="Título 2"/>
    <tableColumn id="3" xr3:uid="{F806F59F-5A37-49C1-96B5-EE77E04E6262}" name="Email" dataDxfId="556"/>
    <tableColumn id="4" xr3:uid="{EDFAEB37-B34C-4756-887E-609E2D507E87}" name="Total/mês" dataDxfId="555" dataCellStyle="Título 2">
      <calculatedColumnFormula>SUM(Tabela13536679102336496286[[#This Row],[Valor cobrado por sessão]]*Tabela13536679102336496286[[#This Row],[Número sessão/mês]])</calculatedColumnFormula>
    </tableColumn>
    <tableColumn id="5" xr3:uid="{06C0088A-DFF9-4F00-B5F5-CA771264979C}" name="Valor cobrado por sessão" dataDxfId="554" dataCellStyle="Título 2"/>
    <tableColumn id="6" xr3:uid="{86FE41C8-BF81-4826-8760-C2AE5C5B8866}" name="Número sessão/mês" dataDxfId="553" dataCellStyle="Título 2"/>
    <tableColumn id="7" xr3:uid="{957A735B-48A4-4A85-A86E-5F805B3DAB76}" name="Semana 1" dataDxfId="552" dataCellStyle="Título 2"/>
    <tableColumn id="8" xr3:uid="{DC84D3D8-581A-4628-8660-6AB76EC13939}" name="Pago" dataDxfId="551" dataCellStyle="Título 2"/>
    <tableColumn id="9" xr3:uid="{5582EFC3-8949-4633-AB49-58655A43AA54}" name="Semana 2" dataDxfId="550" dataCellStyle="Título 2"/>
    <tableColumn id="10" xr3:uid="{E3EA15C2-E101-4B67-98A8-AC5B7C8B4385}" name="Pago2" dataDxfId="549" dataCellStyle="Título 2"/>
    <tableColumn id="11" xr3:uid="{ACA7E7B8-018C-4ABC-9082-F31575C3FC9D}" name="Semana 3" dataDxfId="548" dataCellStyle="Título 2"/>
    <tableColumn id="12" xr3:uid="{C58D26B3-FE7E-4248-A608-C3F918E7828D}" name="Pago3" dataDxfId="547" dataCellStyle="Título 2"/>
    <tableColumn id="13" xr3:uid="{E893E702-29A8-4ED5-8210-BA85BA715494}" name="Semana 4" dataDxfId="546" dataCellStyle="Título 2"/>
    <tableColumn id="14" xr3:uid="{4126D864-6389-44F9-8B5E-7EB01615C038}" name="Pago4" dataDxfId="545" dataCellStyle="Título 2"/>
    <tableColumn id="15" xr3:uid="{EFA0DF6A-21B8-4CB1-BCE1-7320FAC95F6D}" name="Semana 5" dataDxfId="544" dataCellStyle="Título 2"/>
    <tableColumn id="16" xr3:uid="{EFCAC905-F066-42A5-91F9-E1114C11B632}" name="Pago5" dataDxfId="543" dataCellStyle="Título 2"/>
  </tableColumns>
  <tableStyleInfo name="TableStyleLight1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966A755-E0BE-4DE7-AFCA-0420200C1703}" name="Poupança476073236112437506387" displayName="Poupança476073236112437506387" ref="E102:F108" totalsRowCount="1" headerRowDxfId="542" dataDxfId="541" totalsRowDxfId="540">
  <tableColumns count="2">
    <tableColumn id="1" xr3:uid="{1F14EFD3-C391-489A-861E-DCEF9450E4BC}" name="POUPANÇAS OU INVESTIMENTOS" totalsRowLabel="Subtotal" dataDxfId="539" totalsRowDxfId="538">
      <calculatedColumnFormula>Poupança476073236[[#This Row],[POUPANÇAS OU INVESTIMENTOS]]</calculatedColumnFormula>
    </tableColumn>
    <tableColumn id="2" xr3:uid="{187A974E-587B-4D8A-B691-D50385E48182}" name="Custo " totalsRowFunction="custom" dataDxfId="537" totalsRowDxfId="536">
      <totalsRowFormula>SUM(Poupança476073236112437506387[[Custo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A4EE1EE-1DC9-46FF-B048-E699B37E42CC}" name="Assessoria_jurídica516477" displayName="Assessoria_jurídica516477" ref="H78:I83" totalsRowCount="1" headerRowDxfId="1186" dataDxfId="1185" totalsRowDxfId="1184">
  <tableColumns count="2">
    <tableColumn id="1" xr3:uid="{F42F6DFE-DB34-4EAF-A2C3-47D0810072DE}" name="ASSESSORIA JURÍDICA" totalsRowLabel="Subtotal" dataDxfId="1183" totalsRowDxfId="1182"/>
    <tableColumn id="2" xr3:uid="{E31DFDB9-3E09-4FD9-8445-D75C015084D2}" name="Custo " totalsRowFunction="custom" dataDxfId="1181" totalsRowDxfId="1180">
      <totalsRowFormula>SUM(Assessoria_jurídica516477[[Custo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654E902-A3EF-451C-A891-082A3E49CD86}" name="Empréstimos435669122538516488" displayName="Empréstimos435669122538516488" ref="H93:I100" totalsRowCount="1" headerRowDxfId="535" dataDxfId="534" totalsRowDxfId="533">
  <tableColumns count="2">
    <tableColumn id="1" xr3:uid="{11ADDB1E-2160-4025-A72E-966C1930ECA7}" name="EMPRÉSTIMOS" totalsRowLabel="Subtotal" dataDxfId="532" totalsRowDxfId="531">
      <calculatedColumnFormula>Empréstimos435669[[#This Row],[EMPRÉSTIMOS]]</calculatedColumnFormula>
    </tableColumn>
    <tableColumn id="2" xr3:uid="{CC976464-646E-4062-9DE7-51EEEAF1A427}" name="Custo " totalsRowFunction="custom" dataDxfId="530" totalsRowDxfId="529">
      <totalsRowFormula>SUM(Empréstimos435669122538516488[[Custo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918C086-F88D-4360-AAD3-B0A58855C7B6}" name="Impostos465972132639526589" displayName="Impostos465972132639526589" ref="H102:I107" totalsRowCount="1" headerRowDxfId="528" dataDxfId="527" totalsRowDxfId="526">
  <tableColumns count="2">
    <tableColumn id="1" xr3:uid="{9A53178D-B208-4168-B057-270414E693BB}" name="IMPOSTOS" totalsRowLabel="Subtotal" dataDxfId="525" totalsRowDxfId="524">
      <calculatedColumnFormula>Impostos465972[[#This Row],[IMPOSTOS]]</calculatedColumnFormula>
    </tableColumn>
    <tableColumn id="2" xr3:uid="{F681EDFC-4211-4907-9E47-0A35B84B6985}" name="Custo " totalsRowFunction="custom" dataDxfId="523" totalsRowDxfId="522">
      <totalsRowFormula>SUM(Impostos465972132639526589[[Custo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F7BFC5C-4593-4080-8D4A-296EA9FD1EFA}" name="CuidadosPessoais526578241142740536690" displayName="CuidadosPessoais526578241142740536690" ref="E85:F100" totalsRowCount="1" headerRowDxfId="521" dataDxfId="520" totalsRowDxfId="519">
  <tableColumns count="2">
    <tableColumn id="1" xr3:uid="{12EB4714-80D3-4446-A96E-95C5C96C5A03}" name="CUIDADOS PESSOAIS" totalsRowLabel="Subtotal" dataDxfId="518" totalsRowDxfId="517">
      <calculatedColumnFormula>CuidadosPessoais526578241[[#This Row],[CUIDADOS PESSOAIS]]</calculatedColumnFormula>
    </tableColumn>
    <tableColumn id="2" xr3:uid="{313FA05E-C006-4E0E-A35E-6249D1AFCC82}" name="Custo " totalsRowFunction="custom" dataDxfId="516" totalsRowDxfId="515">
      <totalsRowFormula>SUM(CuidadosPessoais526578241142740536690[[Custo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7C7B559-C3ED-4CE5-8ECE-62DF7338D1F6}" name="Moradia4154672152841547391" displayName="Moradia4154672152841547391" ref="B72:C83" totalsRowCount="1" headerRowDxfId="514" dataDxfId="513" totalsRowDxfId="512">
  <tableColumns count="2">
    <tableColumn id="1" xr3:uid="{6664271C-DA33-4CCA-8106-ED2D1BFE88A4}" name="MORADIA" totalsRowLabel="Subtotal" dataDxfId="511" totalsRowDxfId="510">
      <calculatedColumnFormula>Moradia415467[[#This Row],[MORADIA]]</calculatedColumnFormula>
    </tableColumn>
    <tableColumn id="2" xr3:uid="{BB9553AC-FD31-4913-9670-9E931E6FFE5A}" name="Custo " totalsRowFunction="custom" dataDxfId="509" totalsRowDxfId="508">
      <totalsRowFormula>SUM(Moradia4154672152841547391[[Custo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36818CB6-EB0E-4CA0-A452-9B39943A4743}" name="Entretenimento4255683162942557892" displayName="Entretenimento4255683162942557892" ref="E72:F83" totalsRowCount="1" headerRowDxfId="507" dataDxfId="506" totalsRowDxfId="505">
  <tableColumns count="2">
    <tableColumn id="1" xr3:uid="{4C621636-BC1C-405F-9D89-F5DBB6A88BAE}" name="ENTRETENIMENTO" totalsRowLabel="Subtotal" dataDxfId="504" totalsRowDxfId="503">
      <calculatedColumnFormula>Entretenimento425568[[#This Row],[ENTRETENIMENTO]]</calculatedColumnFormula>
    </tableColumn>
    <tableColumn id="3" xr3:uid="{22FD1748-B6A8-4E1E-9425-84295515ABF9}" name="Custo " totalsRowFunction="custom" dataDxfId="502" totalsRowDxfId="501">
      <totalsRowFormula>SUM(Entretenimento4255683162942557892[[Custo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94FC918-9ED0-45E1-B649-E1D36C3E6965}" name="Transporte4457704173043568093" displayName="Transporte4457704173043568093" ref="B85:C93" totalsRowCount="1" headerRowDxfId="500" dataDxfId="499" totalsRowDxfId="498">
  <tableColumns count="2">
    <tableColumn id="1" xr3:uid="{50429697-C711-4589-A349-3DB14F1C3B2A}" name="TRANSPORTE" totalsRowLabel="Subtotal" dataDxfId="497" totalsRowDxfId="496">
      <calculatedColumnFormula>Transporte445770[[#This Row],[TRANSPORTE]]</calculatedColumnFormula>
    </tableColumn>
    <tableColumn id="2" xr3:uid="{7A57058C-D3CA-4EE8-81C0-331B8D926BF2}" name="Custo " totalsRowFunction="custom" dataDxfId="495" totalsRowDxfId="494">
      <totalsRowFormula>SUM(Transporte4457704173043568093[[Custo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B6C5856D-E960-4AB4-AB18-A7D05D4A125F}" name="Seguro4558715183144578194" displayName="Seguro4558715183144578194" ref="B95:C100" totalsRowCount="1" headerRowDxfId="493" dataDxfId="492" totalsRowDxfId="491">
  <tableColumns count="2">
    <tableColumn id="1" xr3:uid="{9CF719D3-9BC4-48DA-8234-6278A00C195B}" name="SEGURO" totalsRowLabel="Subtotal" dataDxfId="490" totalsRowDxfId="489">
      <calculatedColumnFormula>Seguro455871[[#This Row],[SEGURO]]</calculatedColumnFormula>
    </tableColumn>
    <tableColumn id="2" xr3:uid="{2FFADA35-AB8A-461E-8062-3D315CBC57F4}" name="Custo " totalsRowFunction="custom" dataDxfId="488" totalsRowDxfId="487">
      <totalsRowFormula>SUM(Seguro4558715183144578194[[Custo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FF2F0F96-2BFB-418E-9BAE-A36C07006D1B}" name="Alimentação4861746193245588295" displayName="Alimentação4861746193245588295" ref="B102:C108" totalsRowCount="1" headerRowDxfId="486" dataDxfId="485" totalsRowDxfId="484">
  <tableColumns count="2">
    <tableColumn id="1" xr3:uid="{B9DDC8B3-AA1B-44EF-A8BF-6ACB513FDCAC}" name="ALIMENTAÇÃO" totalsRowLabel="Subtotal" dataDxfId="483" totalsRowDxfId="482">
      <calculatedColumnFormula>Alimentação486174[[#This Row],[ALIMENTAÇÃO]]</calculatedColumnFormula>
    </tableColumn>
    <tableColumn id="2" xr3:uid="{0BF848C4-25E3-4650-92FB-50AD94A49036}" name="Custo " totalsRowFunction="custom" dataDxfId="481" totalsRowDxfId="480">
      <totalsRowFormula>SUM(Alimentação4861746193245588295[[Custo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A15D0B6-53E3-45AA-8A88-967CEF09D3F4}" name="Presentes4962757203346598396" displayName="Presentes4962757203346598396" ref="H72:I76" totalsRowCount="1" headerRowDxfId="479" dataDxfId="478" totalsRowDxfId="477">
  <autoFilter ref="H72:I75" xr:uid="{00000000-0009-0000-0100-000009000000}">
    <filterColumn colId="0" hiddenButton="1"/>
    <filterColumn colId="1" hiddenButton="1"/>
  </autoFilter>
  <tableColumns count="2">
    <tableColumn id="1" xr3:uid="{932AD482-4293-40D4-8042-E73CC67F0C2A}" name="PRESENTES E DOAÇÕES" totalsRowLabel="Subtotal" dataDxfId="476" totalsRowDxfId="475">
      <calculatedColumnFormula>Presentes496275[[#This Row],[PRESENTES E DOAÇÕES]]</calculatedColumnFormula>
    </tableColumn>
    <tableColumn id="2" xr3:uid="{171D2158-0D61-4FD8-9E26-B725CEFDA6AC}" name="Custo " totalsRowFunction="custom" dataDxfId="474" totalsRowDxfId="473">
      <totalsRowFormula>SUM(Presentes4962757203346598396[[Custo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461F75B-9CEA-4729-8516-8936AE1390C2}" name="Animais_de_estimação5063768213447608497" displayName="Animais_de_estimação5063768213447608497" ref="H85:I91" totalsRowCount="1" headerRowDxfId="472" dataDxfId="471" totalsRowDxfId="470">
  <tableColumns count="2">
    <tableColumn id="1" xr3:uid="{A99694A6-8B2F-477F-A6F5-E9A9A995ED06}" name="ANIMAIS DE ESTIMAÇÃO" totalsRowLabel="Subtotal" dataDxfId="469" totalsRowDxfId="468">
      <calculatedColumnFormula>Animais_de_estimação506376[[#This Row],[ANIMAIS DE ESTIMAÇÃO]]</calculatedColumnFormula>
    </tableColumn>
    <tableColumn id="2" xr3:uid="{F99F864E-A4B3-4FE1-AAE2-9C3298A90EF3}" name="Custo " totalsRowFunction="custom" dataDxfId="467" totalsRowDxfId="466">
      <totalsRowFormula>SUM(Animais_de_estimação5063768213447608497[[Custo ]])</totalsRowFormula>
    </tableColumn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3.xml"/><Relationship Id="rId13" Type="http://schemas.openxmlformats.org/officeDocument/2006/relationships/table" Target="../tables/table88.xml"/><Relationship Id="rId3" Type="http://schemas.openxmlformats.org/officeDocument/2006/relationships/printerSettings" Target="../printerSettings/printerSettings10.bin"/><Relationship Id="rId7" Type="http://schemas.openxmlformats.org/officeDocument/2006/relationships/table" Target="../tables/table82.xml"/><Relationship Id="rId12" Type="http://schemas.openxmlformats.org/officeDocument/2006/relationships/table" Target="../tables/table87.xml"/><Relationship Id="rId17" Type="http://schemas.openxmlformats.org/officeDocument/2006/relationships/table" Target="../tables/table92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91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81.xml"/><Relationship Id="rId11" Type="http://schemas.openxmlformats.org/officeDocument/2006/relationships/table" Target="../tables/table86.xml"/><Relationship Id="rId5" Type="http://schemas.openxmlformats.org/officeDocument/2006/relationships/table" Target="../tables/table80.xml"/><Relationship Id="rId15" Type="http://schemas.openxmlformats.org/officeDocument/2006/relationships/table" Target="../tables/table90.xml"/><Relationship Id="rId10" Type="http://schemas.openxmlformats.org/officeDocument/2006/relationships/table" Target="../tables/table85.xml"/><Relationship Id="rId4" Type="http://schemas.openxmlformats.org/officeDocument/2006/relationships/drawing" Target="../drawings/drawing10.xml"/><Relationship Id="rId9" Type="http://schemas.openxmlformats.org/officeDocument/2006/relationships/table" Target="../tables/table84.xml"/><Relationship Id="rId14" Type="http://schemas.openxmlformats.org/officeDocument/2006/relationships/table" Target="../tables/table8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6.xml"/><Relationship Id="rId13" Type="http://schemas.openxmlformats.org/officeDocument/2006/relationships/table" Target="../tables/table101.xml"/><Relationship Id="rId3" Type="http://schemas.openxmlformats.org/officeDocument/2006/relationships/printerSettings" Target="../printerSettings/printerSettings11.bin"/><Relationship Id="rId7" Type="http://schemas.openxmlformats.org/officeDocument/2006/relationships/table" Target="../tables/table95.xml"/><Relationship Id="rId12" Type="http://schemas.openxmlformats.org/officeDocument/2006/relationships/table" Target="../tables/table100.xml"/><Relationship Id="rId17" Type="http://schemas.openxmlformats.org/officeDocument/2006/relationships/table" Target="../tables/table105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104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94.xml"/><Relationship Id="rId11" Type="http://schemas.openxmlformats.org/officeDocument/2006/relationships/table" Target="../tables/table99.xml"/><Relationship Id="rId5" Type="http://schemas.openxmlformats.org/officeDocument/2006/relationships/table" Target="../tables/table93.xml"/><Relationship Id="rId15" Type="http://schemas.openxmlformats.org/officeDocument/2006/relationships/table" Target="../tables/table103.xml"/><Relationship Id="rId10" Type="http://schemas.openxmlformats.org/officeDocument/2006/relationships/table" Target="../tables/table98.xml"/><Relationship Id="rId4" Type="http://schemas.openxmlformats.org/officeDocument/2006/relationships/drawing" Target="../drawings/drawing11.xml"/><Relationship Id="rId9" Type="http://schemas.openxmlformats.org/officeDocument/2006/relationships/table" Target="../tables/table97.xml"/><Relationship Id="rId14" Type="http://schemas.openxmlformats.org/officeDocument/2006/relationships/table" Target="../tables/table10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9.xml"/><Relationship Id="rId13" Type="http://schemas.openxmlformats.org/officeDocument/2006/relationships/table" Target="../tables/table114.xml"/><Relationship Id="rId3" Type="http://schemas.openxmlformats.org/officeDocument/2006/relationships/printerSettings" Target="../printerSettings/printerSettings12.bin"/><Relationship Id="rId7" Type="http://schemas.openxmlformats.org/officeDocument/2006/relationships/table" Target="../tables/table108.xml"/><Relationship Id="rId12" Type="http://schemas.openxmlformats.org/officeDocument/2006/relationships/table" Target="../tables/table113.xml"/><Relationship Id="rId17" Type="http://schemas.openxmlformats.org/officeDocument/2006/relationships/table" Target="../tables/table118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117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107.xml"/><Relationship Id="rId11" Type="http://schemas.openxmlformats.org/officeDocument/2006/relationships/table" Target="../tables/table112.xml"/><Relationship Id="rId5" Type="http://schemas.openxmlformats.org/officeDocument/2006/relationships/table" Target="../tables/table106.xml"/><Relationship Id="rId15" Type="http://schemas.openxmlformats.org/officeDocument/2006/relationships/table" Target="../tables/table116.xml"/><Relationship Id="rId10" Type="http://schemas.openxmlformats.org/officeDocument/2006/relationships/table" Target="../tables/table111.xml"/><Relationship Id="rId4" Type="http://schemas.openxmlformats.org/officeDocument/2006/relationships/drawing" Target="../drawings/drawing12.xml"/><Relationship Id="rId9" Type="http://schemas.openxmlformats.org/officeDocument/2006/relationships/table" Target="../tables/table110.xml"/><Relationship Id="rId14" Type="http://schemas.openxmlformats.org/officeDocument/2006/relationships/table" Target="../tables/table115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2.xml"/><Relationship Id="rId13" Type="http://schemas.openxmlformats.org/officeDocument/2006/relationships/table" Target="../tables/table127.xml"/><Relationship Id="rId3" Type="http://schemas.openxmlformats.org/officeDocument/2006/relationships/printerSettings" Target="../printerSettings/printerSettings13.bin"/><Relationship Id="rId7" Type="http://schemas.openxmlformats.org/officeDocument/2006/relationships/table" Target="../tables/table121.xml"/><Relationship Id="rId12" Type="http://schemas.openxmlformats.org/officeDocument/2006/relationships/table" Target="../tables/table126.xml"/><Relationship Id="rId17" Type="http://schemas.openxmlformats.org/officeDocument/2006/relationships/table" Target="../tables/table131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130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120.xml"/><Relationship Id="rId11" Type="http://schemas.openxmlformats.org/officeDocument/2006/relationships/table" Target="../tables/table125.xml"/><Relationship Id="rId5" Type="http://schemas.openxmlformats.org/officeDocument/2006/relationships/table" Target="../tables/table119.xml"/><Relationship Id="rId15" Type="http://schemas.openxmlformats.org/officeDocument/2006/relationships/table" Target="../tables/table129.xml"/><Relationship Id="rId10" Type="http://schemas.openxmlformats.org/officeDocument/2006/relationships/table" Target="../tables/table124.xml"/><Relationship Id="rId4" Type="http://schemas.openxmlformats.org/officeDocument/2006/relationships/drawing" Target="../drawings/drawing13.xml"/><Relationship Id="rId9" Type="http://schemas.openxmlformats.org/officeDocument/2006/relationships/table" Target="../tables/table123.xml"/><Relationship Id="rId14" Type="http://schemas.openxmlformats.org/officeDocument/2006/relationships/table" Target="../tables/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5.xml"/><Relationship Id="rId13" Type="http://schemas.openxmlformats.org/officeDocument/2006/relationships/table" Target="../tables/table140.xml"/><Relationship Id="rId3" Type="http://schemas.openxmlformats.org/officeDocument/2006/relationships/printerSettings" Target="../printerSettings/printerSettings14.bin"/><Relationship Id="rId7" Type="http://schemas.openxmlformats.org/officeDocument/2006/relationships/table" Target="../tables/table134.xml"/><Relationship Id="rId12" Type="http://schemas.openxmlformats.org/officeDocument/2006/relationships/table" Target="../tables/table139.xml"/><Relationship Id="rId17" Type="http://schemas.openxmlformats.org/officeDocument/2006/relationships/table" Target="../tables/table144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143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133.xml"/><Relationship Id="rId11" Type="http://schemas.openxmlformats.org/officeDocument/2006/relationships/table" Target="../tables/table138.xml"/><Relationship Id="rId5" Type="http://schemas.openxmlformats.org/officeDocument/2006/relationships/table" Target="../tables/table132.xml"/><Relationship Id="rId15" Type="http://schemas.openxmlformats.org/officeDocument/2006/relationships/table" Target="../tables/table142.xml"/><Relationship Id="rId10" Type="http://schemas.openxmlformats.org/officeDocument/2006/relationships/table" Target="../tables/table137.xml"/><Relationship Id="rId4" Type="http://schemas.openxmlformats.org/officeDocument/2006/relationships/drawing" Target="../drawings/drawing14.xml"/><Relationship Id="rId9" Type="http://schemas.openxmlformats.org/officeDocument/2006/relationships/table" Target="../tables/table136.xml"/><Relationship Id="rId14" Type="http://schemas.openxmlformats.org/officeDocument/2006/relationships/table" Target="../tables/table141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8.xml"/><Relationship Id="rId13" Type="http://schemas.openxmlformats.org/officeDocument/2006/relationships/table" Target="../tables/table153.xml"/><Relationship Id="rId3" Type="http://schemas.openxmlformats.org/officeDocument/2006/relationships/printerSettings" Target="../printerSettings/printerSettings15.bin"/><Relationship Id="rId7" Type="http://schemas.openxmlformats.org/officeDocument/2006/relationships/table" Target="../tables/table147.xml"/><Relationship Id="rId12" Type="http://schemas.openxmlformats.org/officeDocument/2006/relationships/table" Target="../tables/table152.xml"/><Relationship Id="rId17" Type="http://schemas.openxmlformats.org/officeDocument/2006/relationships/table" Target="../tables/table157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156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146.xml"/><Relationship Id="rId11" Type="http://schemas.openxmlformats.org/officeDocument/2006/relationships/table" Target="../tables/table151.xml"/><Relationship Id="rId5" Type="http://schemas.openxmlformats.org/officeDocument/2006/relationships/table" Target="../tables/table145.xml"/><Relationship Id="rId15" Type="http://schemas.openxmlformats.org/officeDocument/2006/relationships/table" Target="../tables/table155.xml"/><Relationship Id="rId10" Type="http://schemas.openxmlformats.org/officeDocument/2006/relationships/table" Target="../tables/table150.xml"/><Relationship Id="rId4" Type="http://schemas.openxmlformats.org/officeDocument/2006/relationships/drawing" Target="../drawings/drawing15.xml"/><Relationship Id="rId9" Type="http://schemas.openxmlformats.org/officeDocument/2006/relationships/table" Target="../tables/table149.xml"/><Relationship Id="rId14" Type="http://schemas.openxmlformats.org/officeDocument/2006/relationships/table" Target="../tables/table15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mpiricamente.com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mpiricamente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printerSettings" Target="../printerSettings/printerSettings4.bin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13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10" Type="http://schemas.openxmlformats.org/officeDocument/2006/relationships/table" Target="../tables/table7.xml"/><Relationship Id="rId4" Type="http://schemas.openxmlformats.org/officeDocument/2006/relationships/drawing" Target="../drawings/drawing4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13" Type="http://schemas.openxmlformats.org/officeDocument/2006/relationships/table" Target="../tables/table23.xml"/><Relationship Id="rId3" Type="http://schemas.openxmlformats.org/officeDocument/2006/relationships/printerSettings" Target="../printerSettings/printerSettings5.bin"/><Relationship Id="rId7" Type="http://schemas.openxmlformats.org/officeDocument/2006/relationships/table" Target="../tables/table17.xml"/><Relationship Id="rId12" Type="http://schemas.openxmlformats.org/officeDocument/2006/relationships/table" Target="../tables/table22.xml"/><Relationship Id="rId17" Type="http://schemas.openxmlformats.org/officeDocument/2006/relationships/table" Target="../tables/table27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26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16.xml"/><Relationship Id="rId11" Type="http://schemas.openxmlformats.org/officeDocument/2006/relationships/table" Target="../tables/table21.xml"/><Relationship Id="rId5" Type="http://schemas.openxmlformats.org/officeDocument/2006/relationships/table" Target="../tables/table15.xml"/><Relationship Id="rId15" Type="http://schemas.openxmlformats.org/officeDocument/2006/relationships/table" Target="../tables/table25.xml"/><Relationship Id="rId10" Type="http://schemas.openxmlformats.org/officeDocument/2006/relationships/table" Target="../tables/table20.xml"/><Relationship Id="rId4" Type="http://schemas.openxmlformats.org/officeDocument/2006/relationships/drawing" Target="../drawings/drawing5.xml"/><Relationship Id="rId9" Type="http://schemas.openxmlformats.org/officeDocument/2006/relationships/table" Target="../tables/table19.xml"/><Relationship Id="rId14" Type="http://schemas.openxmlformats.org/officeDocument/2006/relationships/table" Target="../tables/table2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13" Type="http://schemas.openxmlformats.org/officeDocument/2006/relationships/table" Target="../tables/table36.xml"/><Relationship Id="rId3" Type="http://schemas.openxmlformats.org/officeDocument/2006/relationships/printerSettings" Target="../printerSettings/printerSettings6.bin"/><Relationship Id="rId7" Type="http://schemas.openxmlformats.org/officeDocument/2006/relationships/table" Target="../tables/table30.xml"/><Relationship Id="rId12" Type="http://schemas.openxmlformats.org/officeDocument/2006/relationships/table" Target="../tables/table35.xml"/><Relationship Id="rId17" Type="http://schemas.openxmlformats.org/officeDocument/2006/relationships/table" Target="../tables/table40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39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29.xml"/><Relationship Id="rId11" Type="http://schemas.openxmlformats.org/officeDocument/2006/relationships/table" Target="../tables/table34.xml"/><Relationship Id="rId5" Type="http://schemas.openxmlformats.org/officeDocument/2006/relationships/table" Target="../tables/table28.xml"/><Relationship Id="rId15" Type="http://schemas.openxmlformats.org/officeDocument/2006/relationships/table" Target="../tables/table38.xml"/><Relationship Id="rId10" Type="http://schemas.openxmlformats.org/officeDocument/2006/relationships/table" Target="../tables/table33.xml"/><Relationship Id="rId4" Type="http://schemas.openxmlformats.org/officeDocument/2006/relationships/drawing" Target="../drawings/drawing6.xml"/><Relationship Id="rId9" Type="http://schemas.openxmlformats.org/officeDocument/2006/relationships/table" Target="../tables/table32.xml"/><Relationship Id="rId14" Type="http://schemas.openxmlformats.org/officeDocument/2006/relationships/table" Target="../tables/table3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13" Type="http://schemas.openxmlformats.org/officeDocument/2006/relationships/table" Target="../tables/table49.xml"/><Relationship Id="rId3" Type="http://schemas.openxmlformats.org/officeDocument/2006/relationships/printerSettings" Target="../printerSettings/printerSettings7.bin"/><Relationship Id="rId7" Type="http://schemas.openxmlformats.org/officeDocument/2006/relationships/table" Target="../tables/table43.xml"/><Relationship Id="rId12" Type="http://schemas.openxmlformats.org/officeDocument/2006/relationships/table" Target="../tables/table48.xml"/><Relationship Id="rId17" Type="http://schemas.openxmlformats.org/officeDocument/2006/relationships/table" Target="../tables/table53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52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42.xml"/><Relationship Id="rId11" Type="http://schemas.openxmlformats.org/officeDocument/2006/relationships/table" Target="../tables/table47.xml"/><Relationship Id="rId5" Type="http://schemas.openxmlformats.org/officeDocument/2006/relationships/table" Target="../tables/table41.xml"/><Relationship Id="rId15" Type="http://schemas.openxmlformats.org/officeDocument/2006/relationships/table" Target="../tables/table51.xml"/><Relationship Id="rId10" Type="http://schemas.openxmlformats.org/officeDocument/2006/relationships/table" Target="../tables/table46.xml"/><Relationship Id="rId4" Type="http://schemas.openxmlformats.org/officeDocument/2006/relationships/drawing" Target="../drawings/drawing7.xml"/><Relationship Id="rId9" Type="http://schemas.openxmlformats.org/officeDocument/2006/relationships/table" Target="../tables/table45.xml"/><Relationship Id="rId14" Type="http://schemas.openxmlformats.org/officeDocument/2006/relationships/table" Target="../tables/table5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7.xml"/><Relationship Id="rId13" Type="http://schemas.openxmlformats.org/officeDocument/2006/relationships/table" Target="../tables/table62.xml"/><Relationship Id="rId3" Type="http://schemas.openxmlformats.org/officeDocument/2006/relationships/printerSettings" Target="../printerSettings/printerSettings8.bin"/><Relationship Id="rId7" Type="http://schemas.openxmlformats.org/officeDocument/2006/relationships/table" Target="../tables/table56.xml"/><Relationship Id="rId12" Type="http://schemas.openxmlformats.org/officeDocument/2006/relationships/table" Target="../tables/table61.xml"/><Relationship Id="rId17" Type="http://schemas.openxmlformats.org/officeDocument/2006/relationships/table" Target="../tables/table66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65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55.xml"/><Relationship Id="rId11" Type="http://schemas.openxmlformats.org/officeDocument/2006/relationships/table" Target="../tables/table60.xml"/><Relationship Id="rId5" Type="http://schemas.openxmlformats.org/officeDocument/2006/relationships/table" Target="../tables/table54.xml"/><Relationship Id="rId15" Type="http://schemas.openxmlformats.org/officeDocument/2006/relationships/table" Target="../tables/table64.xml"/><Relationship Id="rId10" Type="http://schemas.openxmlformats.org/officeDocument/2006/relationships/table" Target="../tables/table59.xml"/><Relationship Id="rId4" Type="http://schemas.openxmlformats.org/officeDocument/2006/relationships/drawing" Target="../drawings/drawing8.xml"/><Relationship Id="rId9" Type="http://schemas.openxmlformats.org/officeDocument/2006/relationships/table" Target="../tables/table58.xml"/><Relationship Id="rId14" Type="http://schemas.openxmlformats.org/officeDocument/2006/relationships/table" Target="../tables/table6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0.xml"/><Relationship Id="rId13" Type="http://schemas.openxmlformats.org/officeDocument/2006/relationships/table" Target="../tables/table75.xml"/><Relationship Id="rId3" Type="http://schemas.openxmlformats.org/officeDocument/2006/relationships/printerSettings" Target="../printerSettings/printerSettings9.bin"/><Relationship Id="rId7" Type="http://schemas.openxmlformats.org/officeDocument/2006/relationships/table" Target="../tables/table69.xml"/><Relationship Id="rId12" Type="http://schemas.openxmlformats.org/officeDocument/2006/relationships/table" Target="../tables/table74.xml"/><Relationship Id="rId17" Type="http://schemas.openxmlformats.org/officeDocument/2006/relationships/table" Target="../tables/table79.xml"/><Relationship Id="rId2" Type="http://schemas.openxmlformats.org/officeDocument/2006/relationships/hyperlink" Target="https://www.empiricamente.com/" TargetMode="External"/><Relationship Id="rId16" Type="http://schemas.openxmlformats.org/officeDocument/2006/relationships/table" Target="../tables/table78.xml"/><Relationship Id="rId1" Type="http://schemas.openxmlformats.org/officeDocument/2006/relationships/externalLinkPath" Target="https://d.docs.live.net/ceecda297c15e06c/&#193;rea%20de%20Trabalho/Or&#231;amento%20pessoal%20mensal3.xlsx" TargetMode="External"/><Relationship Id="rId6" Type="http://schemas.openxmlformats.org/officeDocument/2006/relationships/table" Target="../tables/table68.xml"/><Relationship Id="rId11" Type="http://schemas.openxmlformats.org/officeDocument/2006/relationships/table" Target="../tables/table73.xml"/><Relationship Id="rId5" Type="http://schemas.openxmlformats.org/officeDocument/2006/relationships/table" Target="../tables/table67.xml"/><Relationship Id="rId15" Type="http://schemas.openxmlformats.org/officeDocument/2006/relationships/table" Target="../tables/table77.xml"/><Relationship Id="rId10" Type="http://schemas.openxmlformats.org/officeDocument/2006/relationships/table" Target="../tables/table72.xml"/><Relationship Id="rId4" Type="http://schemas.openxmlformats.org/officeDocument/2006/relationships/drawing" Target="../drawings/drawing9.xml"/><Relationship Id="rId9" Type="http://schemas.openxmlformats.org/officeDocument/2006/relationships/table" Target="../tables/table71.xml"/><Relationship Id="rId14" Type="http://schemas.openxmlformats.org/officeDocument/2006/relationships/table" Target="../tables/table7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 codeName="Planilha1">
    <tabColor theme="9" tint="-0.499984740745262"/>
    <pageSetUpPr fitToPage="1"/>
  </sheetPr>
  <dimension ref="A1:C13"/>
  <sheetViews>
    <sheetView showGridLines="0" zoomScale="82" zoomScaleNormal="82" workbookViewId="0">
      <selection activeCell="E8" sqref="E8"/>
    </sheetView>
  </sheetViews>
  <sheetFormatPr defaultRowHeight="13" x14ac:dyDescent="0.3"/>
  <cols>
    <col min="1" max="1" width="2.69921875" customWidth="1"/>
    <col min="2" max="2" width="80.69921875" customWidth="1"/>
    <col min="3" max="3" width="2.69921875" customWidth="1"/>
  </cols>
  <sheetData>
    <row r="1" spans="1:3" ht="22.5" customHeight="1" x14ac:dyDescent="0.35">
      <c r="A1" s="5"/>
      <c r="B1" s="5"/>
      <c r="C1" s="5"/>
    </row>
    <row r="2" spans="1:3" ht="14.5" x14ac:dyDescent="0.35">
      <c r="A2" s="5"/>
      <c r="B2" s="5"/>
      <c r="C2" s="110"/>
    </row>
    <row r="3" spans="1:3" ht="14.5" x14ac:dyDescent="0.35">
      <c r="A3" s="5"/>
      <c r="B3" s="5"/>
      <c r="C3" s="5"/>
    </row>
    <row r="4" spans="1:3" ht="14.5" x14ac:dyDescent="0.35">
      <c r="A4" s="5"/>
      <c r="B4" s="5"/>
      <c r="C4" s="109"/>
    </row>
    <row r="5" spans="1:3" ht="26.5" customHeight="1" x14ac:dyDescent="0.35">
      <c r="A5" s="5"/>
      <c r="B5" s="5"/>
      <c r="C5" s="5"/>
    </row>
    <row r="7" spans="1:3" ht="30" customHeight="1" x14ac:dyDescent="0.3">
      <c r="A7" s="116" t="s">
        <v>0</v>
      </c>
      <c r="B7" s="116"/>
      <c r="C7" s="116"/>
    </row>
    <row r="8" spans="1:3" ht="30" customHeight="1" x14ac:dyDescent="0.3">
      <c r="B8" s="117" t="s">
        <v>1</v>
      </c>
      <c r="C8" s="117"/>
    </row>
    <row r="9" spans="1:3" ht="30" customHeight="1" x14ac:dyDescent="0.3">
      <c r="B9" s="118" t="s">
        <v>174</v>
      </c>
      <c r="C9" s="118"/>
    </row>
    <row r="10" spans="1:3" ht="30" customHeight="1" x14ac:dyDescent="0.3">
      <c r="B10" s="117" t="s">
        <v>2</v>
      </c>
      <c r="C10" s="117"/>
    </row>
    <row r="11" spans="1:3" ht="30" customHeight="1" x14ac:dyDescent="0.3">
      <c r="B11" s="2" t="s">
        <v>3</v>
      </c>
    </row>
    <row r="12" spans="1:3" ht="45.75" customHeight="1" x14ac:dyDescent="0.3">
      <c r="B12" s="118" t="s">
        <v>176</v>
      </c>
      <c r="C12" s="118"/>
    </row>
    <row r="13" spans="1:3" ht="82" customHeight="1" x14ac:dyDescent="0.3">
      <c r="B13" s="117" t="s">
        <v>178</v>
      </c>
      <c r="C13" s="117"/>
    </row>
  </sheetData>
  <sheetProtection algorithmName="SHA-512" hashValue="FcUTl+tCN+fwQTSfTt00H4XDx8L5ZCrUF/uBg4Ua03bPgAYNxv32SpXO+glkJkSbLwXcm5VYKSGdXrzn6Z3K7Q==" saltValue="3pgqpQFq3s/HdMIabwMsMg==" spinCount="100000" sheet="1" objects="1" scenarios="1"/>
  <protectedRanges>
    <protectedRange algorithmName="SHA-512" hashValue="qD5H/eqSs5U7VVz5nC79Ck4RHrXCpbb0VNn5dZm+iuqn8AFqgpam7H2uu/RE0b9McE3cxmi3npHbbIf2J1ihVw==" saltValue="qs5QJpA2vyDw3qNHW4xjuA==" spinCount="100000" sqref="C1:D1 A1:B4 A5:C5 D2 E1:XFC5" name="Intervalo1_2"/>
    <protectedRange algorithmName="SHA-512" hashValue="qD5H/eqSs5U7VVz5nC79Ck4RHrXCpbb0VNn5dZm+iuqn8AFqgpam7H2uu/RE0b9McE3cxmi3npHbbIf2J1ihVw==" saltValue="qs5QJpA2vyDw3qNHW4xjuA==" spinCount="100000" sqref="C4" name="Intervalo1_1_1"/>
  </protectedRanges>
  <mergeCells count="6">
    <mergeCell ref="B13:C13"/>
    <mergeCell ref="A7:C7"/>
    <mergeCell ref="B8:C8"/>
    <mergeCell ref="B9:C9"/>
    <mergeCell ref="B10:C10"/>
    <mergeCell ref="B12:C12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5D4A-6B0B-4DE8-8631-92F4F907E861}">
  <sheetPr>
    <tabColor theme="4"/>
    <pageSetUpPr autoPageBreaks="0" fitToPage="1"/>
  </sheetPr>
  <dimension ref="A1:R119"/>
  <sheetViews>
    <sheetView showGridLines="0" topLeftCell="A93" zoomScaleNormal="100" workbookViewId="0">
      <selection activeCell="C102" sqref="C102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182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Moradia41546721528415473[[#Totals],[Custo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Transporte44577041730435680[[#Totals],[Custo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Alimentação48617461932455882[[#Totals],[Custo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SUM(Entretenimento42556831629425578[[Custo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SUM(CuidadosPessoais526578241142740536690[[Custo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Seguro45587151831445781[[#Totals],[Custo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SUM(Empréstimos435669122538516488[[Custo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SUM(Impostos465972132639526589[[Custo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SUM(Poupança476073236112437506387[[Custo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Presentes49627572033465983[[#Totals],[Custo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Assessoria_jurídica51647792235486185[[#Totals],[Custo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Animais_de_estimação50637682134476084[[#Totals],[Custo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SUM(Tabela13536679102336496286[Total/mês])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SUM(Tabela13536679102336496286[[#This Row],[Valor cobrado por sessão]]*Tabela13536679102336496286[[#This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SUM(Tabela13536679102336496286[[#This Row],[Valor cobrado por sessão]]*Tabela13536679102336496286[[#This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SUM(Tabela13536679102336496286[[#This Row],[Valor cobrado por sessão]]*Tabela13536679102336496286[[#This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SUM(Tabela13536679102336496286[[#This Row],[Valor cobrado por sessão]]*Tabela13536679102336496286[[#This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SUM(Tabela13536679102336496286[[#This Row],[Valor cobrado por sessão]]*Tabela13536679102336496286[[#This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SUM(Tabela13536679102336496286[[#This Row],[Valor cobrado por sessão]]*Tabela13536679102336496286[[#This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SUM(Tabela13536679102336496286[[#This Row],[Valor cobrado por sessão]]*Tabela13536679102336496286[[#This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SUM(Tabela13536679102336496286[[#This Row],[Valor cobrado por sessão]]*Tabela13536679102336496286[[#This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SUM(Tabela13536679102336496286[[#This Row],[Valor cobrado por sessão]]*Tabela13536679102336496286[[#This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SUM(Tabela13536679102336496286[[#This Row],[Valor cobrado por sessão]]*Tabela13536679102336496286[[#This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SUM(Tabela13536679102336496286[[#This Row],[Valor cobrado por sessão]]*Tabela13536679102336496286[[#This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SUM(Tabela13536679102336496286[[#This Row],[Valor cobrado por sessão]]*Tabela13536679102336496286[[#This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SUM(Tabela13536679102336496286[[#This Row],[Valor cobrado por sessão]]*Tabela13536679102336496286[[#This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SUM(Tabela13536679102336496286[[#This Row],[Valor cobrado por sessão]]*Tabela13536679102336496286[[#This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SUM(Tabela13536679102336496286[[#This Row],[Valor cobrado por sessão]]*Tabela13536679102336496286[[#This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SUM(Tabela13536679102336496286[[#This Row],[Valor cobrado por sessão]]*Tabela13536679102336496286[[#This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SUM(Tabela13536679102336496286[[#This Row],[Valor cobrado por sessão]]*Tabela13536679102336496286[[#This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SUM(Tabela13536679102336496286[[#This Row],[Valor cobrado por sessão]]*Tabela13536679102336496286[[#This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SUM(Tabela13536679102336496286[[#This Row],[Valor cobrado por sessão]]*Tabela13536679102336496286[[#This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SUM(Tabela13536679102336496286[[#This Row],[Valor cobrado por sessão]]*Tabela13536679102336496286[[#This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SUM(Tabela13536679102336496286[[#This Row],[Valor cobrado por sessão]]*Tabela13536679102336496286[[#This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SUM(Tabela13536679102336496286[[#This Row],[Valor cobrado por sessão]]*Tabela13536679102336496286[[#This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SUM(Tabela13536679102336496286[[#This Row],[Valor cobrado por sessão]]*Tabela13536679102336496286[[#This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SUM(Tabela13536679102336496286[[#This Row],[Valor cobrado por sessão]]*Tabela13536679102336496286[[#This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SUM(Tabela13536679102336496286[[#This Row],[Valor cobrado por sessão]]*Tabela13536679102336496286[[#This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SUM(Tabela13536679102336496286[[#This Row],[Valor cobrado por sessão]]*Tabela13536679102336496286[[#This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SUM(Tabela13536679102336496286[[#This Row],[Valor cobrado por sessão]]*Tabela13536679102336496286[[#This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SUM(Tabela13536679102336496286[[#This Row],[Valor cobrado por sessão]]*Tabela13536679102336496286[[#This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SUM(Tabela13536679102336496286[[#This Row],[Valor cobrado por sessão]]*Tabela13536679102336496286[[#This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SUM(Presentes49627572033465983[[Custo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SUM(Moradia41546721528415473[[Custo ]])</f>
        <v>0</v>
      </c>
      <c r="E83" s="7" t="s">
        <v>24</v>
      </c>
      <c r="F83" s="96">
        <f>SUM(Entretenimento42556831629425578[[Custo ]])</f>
        <v>0</v>
      </c>
      <c r="H83" s="7" t="s">
        <v>24</v>
      </c>
      <c r="I83" s="95">
        <f>SUM(Assessoria_jurídica51647792235486185[[Custo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SUM(Animais_de_estimação50637682134476084[[Custo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SUM(Transporte44577041730435680[[Custo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SUM(Seguro45587151831445781[[Custo ]])</f>
        <v>0</v>
      </c>
      <c r="E100" s="7" t="s">
        <v>24</v>
      </c>
      <c r="F100" s="95">
        <f>SUM(CuidadosPessoais526578241142740536690[[Custo ]])</f>
        <v>0</v>
      </c>
      <c r="H100" s="7" t="s">
        <v>24</v>
      </c>
      <c r="I100" s="96">
        <f>SUM(Empréstimos435669122538516488[[Custo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SUM(Impostos465972132639526589[[Custo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SUM(Alimentação48617461932455882[[Custo ]])</f>
        <v>0</v>
      </c>
      <c r="E108" s="7" t="s">
        <v>24</v>
      </c>
      <c r="F108" s="96">
        <f>SUM(Poupança476073236112437506387[[Custo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uhsJ9Ii11s/LwtLEh26cvtOulr1oaBbbNFoh4I+BtUK/50Et2WI0tMsqOM9eLEMG8gNsgK1Chd2SS/4StxYiFg==" saltValue="ZpeUlI4T7afaOExRM464Xw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32D2899C-B544-4405-AD9F-D2A36941E029}">
      <formula1>$J$35:$J$36</formula1>
    </dataValidation>
  </dataValidations>
  <hyperlinks>
    <hyperlink ref="B3" r:id="rId2" xr:uid="{87A78813-2C44-4FDB-893A-F928936B8398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2B83-10D8-4B12-B216-55202486CBEF}">
  <sheetPr>
    <tabColor theme="4"/>
    <pageSetUpPr autoPageBreaks="0" fitToPage="1"/>
  </sheetPr>
  <dimension ref="A1:R119"/>
  <sheetViews>
    <sheetView showGridLines="0" topLeftCell="A92" zoomScaleNormal="100" workbookViewId="0">
      <selection activeCell="I102" sqref="I102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64" t="s">
        <v>187</v>
      </c>
      <c r="C3" s="164"/>
      <c r="D3" s="164"/>
      <c r="E3" s="164"/>
      <c r="F3" s="164"/>
      <c r="G3" s="164"/>
      <c r="H3" s="164"/>
      <c r="I3" s="164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184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Moradia4154672152841547391[[#Totals],[Custo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Transporte4457704173043568093[[#Totals],[Custo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Alimentação4861746193245588295[[#Totals],[Custo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SUM(Entretenimento4255683162942557892[[Custo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SUM(CuidadosPessoais526578241142740536690103[[Custo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Seguro4558715183144578194[[#Totals],[Custo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SUM(Empréstimos435669122538516488101[[Custo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SUM(Impostos465972132639526589102[[Custo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SUM(Poupança476073236112437506387100[[Custo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Presentes4962757203346598396[[#Totals],[Custo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Assessoria_jurídica5164779223548618598[[#Totals],[Custo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Animais_de_estimação5063768213447608497[[#Totals],[Custo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SUM(Tabela1353667910233649628699[Total/mês])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SUM(Tabela1353667910233649628699[[#This Row],[Valor cobrado por sessão]]*Tabela1353667910233649628699[[#This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SUM(Tabela1353667910233649628699[[#This Row],[Valor cobrado por sessão]]*Tabela1353667910233649628699[[#This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SUM(Tabela1353667910233649628699[[#This Row],[Valor cobrado por sessão]]*Tabela1353667910233649628699[[#This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SUM(Tabela1353667910233649628699[[#This Row],[Valor cobrado por sessão]]*Tabela1353667910233649628699[[#This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SUM(Tabela1353667910233649628699[[#This Row],[Valor cobrado por sessão]]*Tabela1353667910233649628699[[#This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SUM(Tabela1353667910233649628699[[#This Row],[Valor cobrado por sessão]]*Tabela1353667910233649628699[[#This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SUM(Tabela1353667910233649628699[[#This Row],[Valor cobrado por sessão]]*Tabela1353667910233649628699[[#This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SUM(Tabela1353667910233649628699[[#This Row],[Valor cobrado por sessão]]*Tabela1353667910233649628699[[#This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SUM(Tabela1353667910233649628699[[#This Row],[Valor cobrado por sessão]]*Tabela1353667910233649628699[[#This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SUM(Tabela1353667910233649628699[[#This Row],[Valor cobrado por sessão]]*Tabela1353667910233649628699[[#This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SUM(Tabela1353667910233649628699[[#This Row],[Valor cobrado por sessão]]*Tabela1353667910233649628699[[#This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SUM(Tabela1353667910233649628699[[#This Row],[Valor cobrado por sessão]]*Tabela1353667910233649628699[[#This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SUM(Tabela1353667910233649628699[[#This Row],[Valor cobrado por sessão]]*Tabela1353667910233649628699[[#This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SUM(Tabela1353667910233649628699[[#This Row],[Valor cobrado por sessão]]*Tabela1353667910233649628699[[#This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SUM(Tabela1353667910233649628699[[#This Row],[Valor cobrado por sessão]]*Tabela1353667910233649628699[[#This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SUM(Tabela1353667910233649628699[[#This Row],[Valor cobrado por sessão]]*Tabela1353667910233649628699[[#This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SUM(Tabela1353667910233649628699[[#This Row],[Valor cobrado por sessão]]*Tabela1353667910233649628699[[#This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SUM(Tabela1353667910233649628699[[#This Row],[Valor cobrado por sessão]]*Tabela1353667910233649628699[[#This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SUM(Tabela1353667910233649628699[[#This Row],[Valor cobrado por sessão]]*Tabela1353667910233649628699[[#This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SUM(Tabela1353667910233649628699[[#This Row],[Valor cobrado por sessão]]*Tabela1353667910233649628699[[#This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SUM(Tabela1353667910233649628699[[#This Row],[Valor cobrado por sessão]]*Tabela1353667910233649628699[[#This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SUM(Tabela1353667910233649628699[[#This Row],[Valor cobrado por sessão]]*Tabela1353667910233649628699[[#This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SUM(Tabela1353667910233649628699[[#This Row],[Valor cobrado por sessão]]*Tabela1353667910233649628699[[#This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SUM(Tabela1353667910233649628699[[#This Row],[Valor cobrado por sessão]]*Tabela1353667910233649628699[[#This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SUM(Tabela1353667910233649628699[[#This Row],[Valor cobrado por sessão]]*Tabela1353667910233649628699[[#This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SUM(Tabela1353667910233649628699[[#This Row],[Valor cobrado por sessão]]*Tabela1353667910233649628699[[#This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SUM(Tabela1353667910233649628699[[#This Row],[Valor cobrado por sessão]]*Tabela1353667910233649628699[[#This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SUM(Tabela1353667910233649628699[[#This Row],[Valor cobrado por sessão]]*Tabela1353667910233649628699[[#This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SUM(Tabela1353667910233649628699[[#This Row],[Valor cobrado por sessão]]*Tabela1353667910233649628699[[#This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SUM(Presentes4962757203346598396[[Custo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SUM(Moradia4154672152841547391[[Custo ]])</f>
        <v>0</v>
      </c>
      <c r="E83" s="7" t="s">
        <v>24</v>
      </c>
      <c r="F83" s="96">
        <f>SUM(Entretenimento4255683162942557892[[Custo ]])</f>
        <v>0</v>
      </c>
      <c r="H83" s="7" t="s">
        <v>24</v>
      </c>
      <c r="I83" s="95">
        <f>SUM(Assessoria_jurídica5164779223548618598[[Custo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SUM(Animais_de_estimação5063768213447608497[[Custo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SUM(Transporte4457704173043568093[[Custo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SUM(Seguro4558715183144578194[[Custo ]])</f>
        <v>0</v>
      </c>
      <c r="E100" s="7" t="s">
        <v>24</v>
      </c>
      <c r="F100" s="95">
        <f>SUM(CuidadosPessoais526578241142740536690103[[Custo ]])</f>
        <v>0</v>
      </c>
      <c r="H100" s="7" t="s">
        <v>24</v>
      </c>
      <c r="I100" s="96">
        <f>SUM(Empréstimos435669122538516488101[[Custo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97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SUM(Impostos465972132639526589102[[Custo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SUM(Alimentação4861746193245588295[[Custo ]])</f>
        <v>0</v>
      </c>
      <c r="E108" s="7" t="s">
        <v>24</v>
      </c>
      <c r="F108" s="96">
        <f>SUM(Poupança476073236112437506387100[[Custo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jLoO4y6GOZCLqekHf8HA640kB1rqmMgrNJ7J2CLncHCeLB/iaZ8Djo1+m35YqZWgkEVWRInS5gBpiZWEuZWIeg==" saltValue="6GgxyZvX98AghHkHEknN2Q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disablePrompts="1" count="1">
    <dataValidation type="list" allowBlank="1" showInputMessage="1" showErrorMessage="1" sqref="R35:R64 P35:P64 N35:N64 L35:L64 J35:J64" xr:uid="{D94BB4BD-D2DD-4F5B-8E9B-DD85ED5B4736}">
      <formula1>$J$35:$J$36</formula1>
    </dataValidation>
  </dataValidations>
  <hyperlinks>
    <hyperlink ref="B3" r:id="rId2" xr:uid="{2585161F-3D59-492B-8169-DB0542DE64E7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2DDE-FDE3-4219-A912-1006B4F1F86C}">
  <sheetPr>
    <tabColor theme="4"/>
    <pageSetUpPr autoPageBreaks="0" fitToPage="1"/>
  </sheetPr>
  <dimension ref="A1:R119"/>
  <sheetViews>
    <sheetView showGridLines="0" topLeftCell="A92" zoomScaleNormal="100" workbookViewId="0">
      <selection activeCell="I102" sqref="I102"/>
    </sheetView>
  </sheetViews>
  <sheetFormatPr defaultRowHeight="13" outlineLevelRow="1" x14ac:dyDescent="0.3"/>
  <cols>
    <col min="1" max="1" width="1.2968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185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Moradia4154672152841547391104[[#Totals],[Custo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Transporte4457704173043568093106[[#Totals],[Custo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Alimentação4861746193245588295108[[#Totals],[Custo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SUM(Entretenimento4255683162942557892105[[Custo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SUM(CuidadosPessoais526578241142740536690103116[[Custo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Seguro4558715183144578194107[[#Totals],[Custo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SUM(Empréstimos435669122538516488101114[[Custo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SUM(Impostos465972132639526589102115[[Custo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SUM(Poupança476073236112437506387100113[[Custo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Presentes4962757203346598396109[[#Totals],[Custo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Assessoria_jurídica5164779223548618598111[[#Totals],[Custo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Animais_de_estimação5063768213447608497110[[#Totals],[Custo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SUM(Tabela1353667910233649628699112[Total/mês])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SUM(Tabela1353667910233649628699112[[#This Row],[Valor cobrado por sessão]]*Tabela1353667910233649628699112[[#This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SUM(Tabela1353667910233649628699112[[#This Row],[Valor cobrado por sessão]]*Tabela1353667910233649628699112[[#This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SUM(Tabela1353667910233649628699112[[#This Row],[Valor cobrado por sessão]]*Tabela1353667910233649628699112[[#This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SUM(Tabela1353667910233649628699112[[#This Row],[Valor cobrado por sessão]]*Tabela1353667910233649628699112[[#This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SUM(Tabela1353667910233649628699112[[#This Row],[Valor cobrado por sessão]]*Tabela1353667910233649628699112[[#This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SUM(Tabela1353667910233649628699112[[#This Row],[Valor cobrado por sessão]]*Tabela1353667910233649628699112[[#This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SUM(Tabela1353667910233649628699112[[#This Row],[Valor cobrado por sessão]]*Tabela1353667910233649628699112[[#This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SUM(Tabela1353667910233649628699112[[#This Row],[Valor cobrado por sessão]]*Tabela1353667910233649628699112[[#This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SUM(Tabela1353667910233649628699112[[#This Row],[Valor cobrado por sessão]]*Tabela1353667910233649628699112[[#This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SUM(Tabela1353667910233649628699112[[#This Row],[Valor cobrado por sessão]]*Tabela1353667910233649628699112[[#This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SUM(Tabela1353667910233649628699112[[#This Row],[Valor cobrado por sessão]]*Tabela1353667910233649628699112[[#This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SUM(Tabela1353667910233649628699112[[#This Row],[Valor cobrado por sessão]]*Tabela1353667910233649628699112[[#This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SUM(Tabela1353667910233649628699112[[#This Row],[Valor cobrado por sessão]]*Tabela1353667910233649628699112[[#This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SUM(Tabela1353667910233649628699112[[#This Row],[Valor cobrado por sessão]]*Tabela1353667910233649628699112[[#This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SUM(Tabela1353667910233649628699112[[#This Row],[Valor cobrado por sessão]]*Tabela1353667910233649628699112[[#This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SUM(Tabela1353667910233649628699112[[#This Row],[Valor cobrado por sessão]]*Tabela1353667910233649628699112[[#This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SUM(Tabela1353667910233649628699112[[#This Row],[Valor cobrado por sessão]]*Tabela1353667910233649628699112[[#This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SUM(Tabela1353667910233649628699112[[#This Row],[Valor cobrado por sessão]]*Tabela1353667910233649628699112[[#This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SUM(Tabela1353667910233649628699112[[#This Row],[Valor cobrado por sessão]]*Tabela1353667910233649628699112[[#This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SUM(Tabela1353667910233649628699112[[#This Row],[Valor cobrado por sessão]]*Tabela1353667910233649628699112[[#This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SUM(Tabela1353667910233649628699112[[#This Row],[Valor cobrado por sessão]]*Tabela1353667910233649628699112[[#This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SUM(Tabela1353667910233649628699112[[#This Row],[Valor cobrado por sessão]]*Tabela1353667910233649628699112[[#This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SUM(Tabela1353667910233649628699112[[#This Row],[Valor cobrado por sessão]]*Tabela1353667910233649628699112[[#This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SUM(Tabela1353667910233649628699112[[#This Row],[Valor cobrado por sessão]]*Tabela1353667910233649628699112[[#This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SUM(Tabela1353667910233649628699112[[#This Row],[Valor cobrado por sessão]]*Tabela1353667910233649628699112[[#This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SUM(Tabela1353667910233649628699112[[#This Row],[Valor cobrado por sessão]]*Tabela1353667910233649628699112[[#This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SUM(Tabela1353667910233649628699112[[#This Row],[Valor cobrado por sessão]]*Tabela1353667910233649628699112[[#This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SUM(Tabela1353667910233649628699112[[#This Row],[Valor cobrado por sessão]]*Tabela1353667910233649628699112[[#This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SUM(Tabela1353667910233649628699112[[#This Row],[Valor cobrado por sessão]]*Tabela1353667910233649628699112[[#This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91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SUM(Presentes4962757203346598396109[[Custo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SUM(Moradia4154672152841547391104[[Custo ]])</f>
        <v>0</v>
      </c>
      <c r="E83" s="7" t="s">
        <v>24</v>
      </c>
      <c r="F83" s="96">
        <f>SUM(Entretenimento4255683162942557892105[[Custo ]])</f>
        <v>0</v>
      </c>
      <c r="H83" s="7" t="s">
        <v>24</v>
      </c>
      <c r="I83" s="95">
        <f>SUM(Assessoria_jurídica5164779223548618598111[[Custo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SUM(Animais_de_estimação5063768213447608497110[[Custo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SUM(Transporte4457704173043568093106[[Custo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SUM(Seguro4558715183144578194107[[Custo ]])</f>
        <v>0</v>
      </c>
      <c r="E100" s="7" t="s">
        <v>24</v>
      </c>
      <c r="F100" s="95">
        <f>SUM(CuidadosPessoais526578241142740536690103116[[Custo ]])</f>
        <v>0</v>
      </c>
      <c r="H100" s="7" t="s">
        <v>24</v>
      </c>
      <c r="I100" s="96">
        <f>SUM(Empréstimos435669122538516488101114[[Custo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SUM(Impostos465972132639526589102115[[Custo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SUM(Alimentação4861746193245588295108[[Custo ]])</f>
        <v>0</v>
      </c>
      <c r="E108" s="7" t="s">
        <v>24</v>
      </c>
      <c r="F108" s="96">
        <f>SUM(Poupança476073236112437506387100113[[Custo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IFZyfuVsxQjYUGvLXTba+fbIGdL2fMS41Oky3MFCc0k6vfB4TVBk0JfyQfLuWNrx/eI0eKCUi8MbiI4P+1R7EQ==" saltValue="Usdgap0GF9/xHhqF7kjEOA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BC38C89A-61AA-4950-8E41-72D00EB42B68}">
      <formula1>$J$35:$J$36</formula1>
    </dataValidation>
  </dataValidations>
  <hyperlinks>
    <hyperlink ref="B3" r:id="rId2" xr:uid="{38FAB113-FC73-423E-BAFE-61ECF9543CB0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598B-AC45-4E1C-ADA2-26BCE26923FF}">
  <sheetPr>
    <tabColor theme="4"/>
    <pageSetUpPr autoPageBreaks="0" fitToPage="1"/>
  </sheetPr>
  <dimension ref="A1:R119"/>
  <sheetViews>
    <sheetView showGridLines="0" topLeftCell="A97" zoomScaleNormal="100" workbookViewId="0">
      <selection activeCell="C102" sqref="C102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186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Moradia4154672152841547391104117[[#Totals],[Custo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Transporte4457704173043568093106119[[#Totals],[Custo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Alimentação4861746193245588295108121[[#Totals],[Custo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SUM(Entretenimento4255683162942557892105118[[Custo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SUM(CuidadosPessoais526578241142740536690103116129[[Custo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Seguro4558715183144578194107120[[#Totals],[Custo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SUM(Empréstimos435669122538516488101114127[[Custo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SUM(Impostos465972132639526589102115128[[Custo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SUM(Poupança476073236112437506387100113126[[Custo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Presentes4962757203346598396109122[[#Totals],[Custo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Assessoria_jurídica5164779223548618598111124[[#Totals],[Custo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Animais_de_estimação5063768213447608497110123[[#Totals],[Custo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52">
        <f>SUM(Tabela1353667910233649628699112125[Total/mês])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SUM(Tabela1353667910233649628699112125[[#This Row],[Valor cobrado por sessão]]*Tabela1353667910233649628699112125[[#This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SUM(Tabela1353667910233649628699112125[[#This Row],[Valor cobrado por sessão]]*Tabela1353667910233649628699112125[[#This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SUM(Tabela1353667910233649628699112125[[#This Row],[Valor cobrado por sessão]]*Tabela1353667910233649628699112125[[#This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SUM(Tabela1353667910233649628699112125[[#This Row],[Valor cobrado por sessão]]*Tabela1353667910233649628699112125[[#This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SUM(Tabela1353667910233649628699112125[[#This Row],[Valor cobrado por sessão]]*Tabela1353667910233649628699112125[[#This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SUM(Tabela1353667910233649628699112125[[#This Row],[Valor cobrado por sessão]]*Tabela1353667910233649628699112125[[#This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SUM(Tabela1353667910233649628699112125[[#This Row],[Valor cobrado por sessão]]*Tabela1353667910233649628699112125[[#This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SUM(Tabela1353667910233649628699112125[[#This Row],[Valor cobrado por sessão]]*Tabela1353667910233649628699112125[[#This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SUM(Tabela1353667910233649628699112125[[#This Row],[Valor cobrado por sessão]]*Tabela1353667910233649628699112125[[#This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SUM(Tabela1353667910233649628699112125[[#This Row],[Valor cobrado por sessão]]*Tabela1353667910233649628699112125[[#This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SUM(Tabela1353667910233649628699112125[[#This Row],[Valor cobrado por sessão]]*Tabela1353667910233649628699112125[[#This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SUM(Tabela1353667910233649628699112125[[#This Row],[Valor cobrado por sessão]]*Tabela1353667910233649628699112125[[#This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SUM(Tabela1353667910233649628699112125[[#This Row],[Valor cobrado por sessão]]*Tabela1353667910233649628699112125[[#This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SUM(Tabela1353667910233649628699112125[[#This Row],[Valor cobrado por sessão]]*Tabela1353667910233649628699112125[[#This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SUM(Tabela1353667910233649628699112125[[#This Row],[Valor cobrado por sessão]]*Tabela1353667910233649628699112125[[#This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SUM(Tabela1353667910233649628699112125[[#This Row],[Valor cobrado por sessão]]*Tabela1353667910233649628699112125[[#This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SUM(Tabela1353667910233649628699112125[[#This Row],[Valor cobrado por sessão]]*Tabela1353667910233649628699112125[[#This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SUM(Tabela1353667910233649628699112125[[#This Row],[Valor cobrado por sessão]]*Tabela1353667910233649628699112125[[#This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SUM(Tabela1353667910233649628699112125[[#This Row],[Valor cobrado por sessão]]*Tabela1353667910233649628699112125[[#This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SUM(Tabela1353667910233649628699112125[[#This Row],[Valor cobrado por sessão]]*Tabela1353667910233649628699112125[[#This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SUM(Tabela1353667910233649628699112125[[#This Row],[Valor cobrado por sessão]]*Tabela1353667910233649628699112125[[#This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SUM(Tabela1353667910233649628699112125[[#This Row],[Valor cobrado por sessão]]*Tabela1353667910233649628699112125[[#This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SUM(Tabela1353667910233649628699112125[[#This Row],[Valor cobrado por sessão]]*Tabela1353667910233649628699112125[[#This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SUM(Tabela1353667910233649628699112125[[#This Row],[Valor cobrado por sessão]]*Tabela1353667910233649628699112125[[#This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SUM(Tabela1353667910233649628699112125[[#This Row],[Valor cobrado por sessão]]*Tabela1353667910233649628699112125[[#This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SUM(Tabela1353667910233649628699112125[[#This Row],[Valor cobrado por sessão]]*Tabela1353667910233649628699112125[[#This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SUM(Tabela1353667910233649628699112125[[#This Row],[Valor cobrado por sessão]]*Tabela1353667910233649628699112125[[#This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SUM(Tabela1353667910233649628699112125[[#This Row],[Valor cobrado por sessão]]*Tabela1353667910233649628699112125[[#This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SUM(Tabela1353667910233649628699112125[[#This Row],[Valor cobrado por sessão]]*Tabela1353667910233649628699112125[[#This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81" t="s">
        <v>49</v>
      </c>
      <c r="D66" s="82"/>
      <c r="E66" s="83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SUM(Presentes4962757203346598396109122[[Custo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SUM(Moradia4154672152841547391104117[[Custo ]])</f>
        <v>0</v>
      </c>
      <c r="E83" s="7" t="s">
        <v>24</v>
      </c>
      <c r="F83" s="96">
        <f>SUM(Entretenimento4255683162942557892105118[[Custo ]])</f>
        <v>0</v>
      </c>
      <c r="H83" s="7" t="s">
        <v>24</v>
      </c>
      <c r="I83" s="95">
        <f>SUM(Assessoria_jurídica5164779223548618598111124[[Custo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SUM(Animais_de_estimação5063768213447608497110123[[Custo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SUM(Transporte4457704173043568093106119[[Custo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SUM(Seguro4558715183144578194107120[[Custo ]])</f>
        <v>0</v>
      </c>
      <c r="E100" s="7" t="s">
        <v>24</v>
      </c>
      <c r="F100" s="95">
        <f>SUM(CuidadosPessoais526578241142740536690103116129[[Custo ]])</f>
        <v>0</v>
      </c>
      <c r="H100" s="7" t="s">
        <v>24</v>
      </c>
      <c r="I100" s="96">
        <f>SUM(Empréstimos435669122538516488101114127[[Custo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SUM(Impostos465972132639526589102115128[[Custo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SUM(Alimentação4861746193245588295108121[[Custo ]])</f>
        <v>0</v>
      </c>
      <c r="E108" s="7" t="s">
        <v>24</v>
      </c>
      <c r="F108" s="96">
        <f>SUM(Poupança476073236112437506387100113126[[Custo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zehObTGR/5zdtlmmOmePXpIduvn9GV2DVIBGTwh5KcTgeKuoG1aihnwrZkdJio2DgtI7KDj4V4MndbSC+MvY6w==" saltValue="+qwn05FDqM5CggyU0VqfNw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B02C2A13-9552-4C14-B305-6354AD26AB67}">
      <formula1>$J$35:$J$36</formula1>
    </dataValidation>
  </dataValidations>
  <hyperlinks>
    <hyperlink ref="B3" r:id="rId2" xr:uid="{588A34E0-801C-44C4-A178-FED3BAFAFDAB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C5ED-92BD-45D6-8979-5B91D0D5F921}">
  <sheetPr>
    <tabColor theme="4"/>
    <pageSetUpPr autoPageBreaks="0" fitToPage="1"/>
  </sheetPr>
  <dimension ref="A1:R119"/>
  <sheetViews>
    <sheetView showGridLines="0" zoomScaleNormal="100" workbookViewId="0">
      <selection activeCell="C102" sqref="C102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186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Moradia4154672152841547391104117130[[#Totals],[Custo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Transporte4457704173043568093106119132[[#Totals],[Custo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Alimentação4861746193245588295108121134[[#Totals],[Custo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SUM(Entretenimento4255683162942557892105118131[[Custo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SUM(CuidadosPessoais526578241142740536690103116129142[[Custo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Seguro4558715183144578194107120133[[#Totals],[Custo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SUM(Empréstimos435669122538516488101114127140[[Custo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SUM(Impostos465972132639526589102115128141[[Custo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SUM(Poupança476073236112437506387100113126139[[Custo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Presentes4962757203346598396109122135[[#Totals],[Custo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Assessoria_jurídica5164779223548618598111124137[[#Totals],[Custo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Animais_de_estimação5063768213447608497110123136[[#Totals],[Custo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SUM(Tabela1353667910233649628699112125138[Total/mês])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SUM(Tabela1353667910233649628699112125138[[#This Row],[Valor cobrado por sessão]]*Tabela1353667910233649628699112125138[[#This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SUM(Tabela1353667910233649628699112125138[[#This Row],[Valor cobrado por sessão]]*Tabela1353667910233649628699112125138[[#This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SUM(Tabela1353667910233649628699112125138[[#This Row],[Valor cobrado por sessão]]*Tabela1353667910233649628699112125138[[#This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SUM(Tabela1353667910233649628699112125138[[#This Row],[Valor cobrado por sessão]]*Tabela1353667910233649628699112125138[[#This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SUM(Tabela1353667910233649628699112125138[[#This Row],[Valor cobrado por sessão]]*Tabela1353667910233649628699112125138[[#This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SUM(Tabela1353667910233649628699112125138[[#This Row],[Valor cobrado por sessão]]*Tabela1353667910233649628699112125138[[#This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SUM(Tabela1353667910233649628699112125138[[#This Row],[Valor cobrado por sessão]]*Tabela1353667910233649628699112125138[[#This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SUM(Tabela1353667910233649628699112125138[[#This Row],[Valor cobrado por sessão]]*Tabela1353667910233649628699112125138[[#This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SUM(Tabela1353667910233649628699112125138[[#This Row],[Valor cobrado por sessão]]*Tabela1353667910233649628699112125138[[#This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SUM(Tabela1353667910233649628699112125138[[#This Row],[Valor cobrado por sessão]]*Tabela1353667910233649628699112125138[[#This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SUM(Tabela1353667910233649628699112125138[[#This Row],[Valor cobrado por sessão]]*Tabela1353667910233649628699112125138[[#This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SUM(Tabela1353667910233649628699112125138[[#This Row],[Valor cobrado por sessão]]*Tabela1353667910233649628699112125138[[#This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SUM(Tabela1353667910233649628699112125138[[#This Row],[Valor cobrado por sessão]]*Tabela1353667910233649628699112125138[[#This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SUM(Tabela1353667910233649628699112125138[[#This Row],[Valor cobrado por sessão]]*Tabela1353667910233649628699112125138[[#This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SUM(Tabela1353667910233649628699112125138[[#This Row],[Valor cobrado por sessão]]*Tabela1353667910233649628699112125138[[#This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SUM(Tabela1353667910233649628699112125138[[#This Row],[Valor cobrado por sessão]]*Tabela1353667910233649628699112125138[[#This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SUM(Tabela1353667910233649628699112125138[[#This Row],[Valor cobrado por sessão]]*Tabela1353667910233649628699112125138[[#This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SUM(Tabela1353667910233649628699112125138[[#This Row],[Valor cobrado por sessão]]*Tabela1353667910233649628699112125138[[#This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SUM(Tabela1353667910233649628699112125138[[#This Row],[Valor cobrado por sessão]]*Tabela1353667910233649628699112125138[[#This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SUM(Tabela1353667910233649628699112125138[[#This Row],[Valor cobrado por sessão]]*Tabela1353667910233649628699112125138[[#This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SUM(Tabela1353667910233649628699112125138[[#This Row],[Valor cobrado por sessão]]*Tabela1353667910233649628699112125138[[#This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SUM(Tabela1353667910233649628699112125138[[#This Row],[Valor cobrado por sessão]]*Tabela1353667910233649628699112125138[[#This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SUM(Tabela1353667910233649628699112125138[[#This Row],[Valor cobrado por sessão]]*Tabela1353667910233649628699112125138[[#This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SUM(Tabela1353667910233649628699112125138[[#This Row],[Valor cobrado por sessão]]*Tabela1353667910233649628699112125138[[#This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SUM(Tabela1353667910233649628699112125138[[#This Row],[Valor cobrado por sessão]]*Tabela1353667910233649628699112125138[[#This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SUM(Tabela1353667910233649628699112125138[[#This Row],[Valor cobrado por sessão]]*Tabela1353667910233649628699112125138[[#This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SUM(Tabela1353667910233649628699112125138[[#This Row],[Valor cobrado por sessão]]*Tabela1353667910233649628699112125138[[#This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SUM(Tabela1353667910233649628699112125138[[#This Row],[Valor cobrado por sessão]]*Tabela1353667910233649628699112125138[[#This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SUM(Tabela1353667910233649628699112125138[[#This Row],[Valor cobrado por sessão]]*Tabela1353667910233649628699112125138[[#This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SUM(Presentes4962757203346598396109122135[[Custo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91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SUM(Moradia4154672152841547391104117130[[Custo ]])</f>
        <v>0</v>
      </c>
      <c r="E83" s="7" t="s">
        <v>24</v>
      </c>
      <c r="F83" s="96">
        <f>SUM(Entretenimento4255683162942557892105118131[[Custo ]])</f>
        <v>0</v>
      </c>
      <c r="H83" s="7" t="s">
        <v>24</v>
      </c>
      <c r="I83" s="95">
        <f>SUM(Assessoria_jurídica5164779223548618598111124137[[Custo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SUM(Animais_de_estimação5063768213447608497110123136[[Custo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SUM(Transporte4457704173043568093106119132[[Custo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SUM(Seguro4558715183144578194107120133[[Custo ]])</f>
        <v>0</v>
      </c>
      <c r="E100" s="7" t="s">
        <v>24</v>
      </c>
      <c r="F100" s="95">
        <f>SUM(CuidadosPessoais526578241142740536690103116129142[[Custo ]])</f>
        <v>0</v>
      </c>
      <c r="H100" s="7" t="s">
        <v>24</v>
      </c>
      <c r="I100" s="96">
        <f>SUM(Empréstimos435669122538516488101114127140[[Custo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SUM(Impostos465972132639526589102115128141[[Custo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SUM(Alimentação4861746193245588295108121134[[Custo ]])</f>
        <v>0</v>
      </c>
      <c r="E108" s="7" t="s">
        <v>24</v>
      </c>
      <c r="F108" s="96">
        <f>SUM(Poupança476073236112437506387100113126139[[Custo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w+AZW4w9cWlBi4qUNQx8iT4d624p6TlRm2p5cKP15haKcl8V3ZImaI36M9sQcIeVJMUxC06BXyrdiAlacSGkDQ==" saltValue="AcKfGCyjOr0FIZSKafLG8g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9A2BC468-DEBB-4CE5-A642-DC4998720E26}">
      <formula1>$J$35:$J$36</formula1>
    </dataValidation>
  </dataValidations>
  <hyperlinks>
    <hyperlink ref="B3" r:id="rId2" xr:uid="{8F90429B-F56F-4337-BD40-3B1CC352222F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7F66-C8B5-41F2-91FD-C056CFA298B2}">
  <sheetPr>
    <tabColor theme="4"/>
    <pageSetUpPr autoPageBreaks="0" fitToPage="1"/>
  </sheetPr>
  <dimension ref="A1:R119"/>
  <sheetViews>
    <sheetView showGridLines="0" zoomScaleNormal="100" workbookViewId="0">
      <selection activeCell="C74" sqref="C74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186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Moradia4154672152841547391104117130143[[#Totals],[Custo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Transporte4457704173043568093106119132145[[#Totals],[Custo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Alimentação4861746193245588295108121134147[[#Totals],[Custo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SUM(Entretenimento4255683162942557892105118131144[[Custo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SUM(CuidadosPessoais526578241142740536690103116129142155[[Custo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Seguro4558715183144578194107120133146[[#Totals],[Custo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SUM(Empréstimos435669122538516488101114127140153[[Custo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SUM(Impostos465972132639526589102115128141154[[Custo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SUM(Poupança476073236112437506387100113126139152[[Custo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Presentes4962757203346598396109122135148[[#Totals],[Custo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Assessoria_jurídica5164779223548618598111124137150[[#Totals],[Custo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Animais_de_estimação5063768213447608497110123136149[[#Totals],[Custo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SUM(Tabela1353667910233649628699112125138151[Total/mês])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SUM(Tabela1353667910233649628699112125138151[[#This Row],[Valor cobrado por sessão]]*Tabela1353667910233649628699112125138151[[#This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SUM(Tabela1353667910233649628699112125138151[[#This Row],[Valor cobrado por sessão]]*Tabela1353667910233649628699112125138151[[#This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SUM(Tabela1353667910233649628699112125138151[[#This Row],[Valor cobrado por sessão]]*Tabela1353667910233649628699112125138151[[#This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SUM(Tabela1353667910233649628699112125138151[[#This Row],[Valor cobrado por sessão]]*Tabela1353667910233649628699112125138151[[#This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SUM(Tabela1353667910233649628699112125138151[[#This Row],[Valor cobrado por sessão]]*Tabela1353667910233649628699112125138151[[#This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SUM(Tabela1353667910233649628699112125138151[[#This Row],[Valor cobrado por sessão]]*Tabela1353667910233649628699112125138151[[#This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SUM(Tabela1353667910233649628699112125138151[[#This Row],[Valor cobrado por sessão]]*Tabela1353667910233649628699112125138151[[#This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SUM(Tabela1353667910233649628699112125138151[[#This Row],[Valor cobrado por sessão]]*Tabela1353667910233649628699112125138151[[#This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SUM(Tabela1353667910233649628699112125138151[[#This Row],[Valor cobrado por sessão]]*Tabela1353667910233649628699112125138151[[#This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SUM(Tabela1353667910233649628699112125138151[[#This Row],[Valor cobrado por sessão]]*Tabela1353667910233649628699112125138151[[#This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SUM(Tabela1353667910233649628699112125138151[[#This Row],[Valor cobrado por sessão]]*Tabela1353667910233649628699112125138151[[#This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SUM(Tabela1353667910233649628699112125138151[[#This Row],[Valor cobrado por sessão]]*Tabela1353667910233649628699112125138151[[#This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SUM(Tabela1353667910233649628699112125138151[[#This Row],[Valor cobrado por sessão]]*Tabela1353667910233649628699112125138151[[#This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SUM(Tabela1353667910233649628699112125138151[[#This Row],[Valor cobrado por sessão]]*Tabela1353667910233649628699112125138151[[#This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SUM(Tabela1353667910233649628699112125138151[[#This Row],[Valor cobrado por sessão]]*Tabela1353667910233649628699112125138151[[#This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SUM(Tabela1353667910233649628699112125138151[[#This Row],[Valor cobrado por sessão]]*Tabela1353667910233649628699112125138151[[#This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SUM(Tabela1353667910233649628699112125138151[[#This Row],[Valor cobrado por sessão]]*Tabela1353667910233649628699112125138151[[#This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SUM(Tabela1353667910233649628699112125138151[[#This Row],[Valor cobrado por sessão]]*Tabela1353667910233649628699112125138151[[#This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SUM(Tabela1353667910233649628699112125138151[[#This Row],[Valor cobrado por sessão]]*Tabela1353667910233649628699112125138151[[#This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SUM(Tabela1353667910233649628699112125138151[[#This Row],[Valor cobrado por sessão]]*Tabela1353667910233649628699112125138151[[#This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SUM(Tabela1353667910233649628699112125138151[[#This Row],[Valor cobrado por sessão]]*Tabela1353667910233649628699112125138151[[#This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SUM(Tabela1353667910233649628699112125138151[[#This Row],[Valor cobrado por sessão]]*Tabela1353667910233649628699112125138151[[#This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SUM(Tabela1353667910233649628699112125138151[[#This Row],[Valor cobrado por sessão]]*Tabela1353667910233649628699112125138151[[#This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SUM(Tabela1353667910233649628699112125138151[[#This Row],[Valor cobrado por sessão]]*Tabela1353667910233649628699112125138151[[#This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SUM(Tabela1353667910233649628699112125138151[[#This Row],[Valor cobrado por sessão]]*Tabela1353667910233649628699112125138151[[#This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SUM(Tabela1353667910233649628699112125138151[[#This Row],[Valor cobrado por sessão]]*Tabela1353667910233649628699112125138151[[#This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SUM(Tabela1353667910233649628699112125138151[[#This Row],[Valor cobrado por sessão]]*Tabela1353667910233649628699112125138151[[#This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SUM(Tabela1353667910233649628699112125138151[[#This Row],[Valor cobrado por sessão]]*Tabela1353667910233649628699112125138151[[#This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SUM(Tabela1353667910233649628699112125138151[[#This Row],[Valor cobrado por sessão]]*Tabela1353667910233649628699112125138151[[#This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SUM(Presentes4962757203346598396109122135148[[Custo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SUM(Moradia4154672152841547391104117130143[[Custo ]])</f>
        <v>0</v>
      </c>
      <c r="E83" s="7" t="s">
        <v>24</v>
      </c>
      <c r="F83" s="96">
        <f>SUM(Entretenimento4255683162942557892105118131144[[Custo ]])</f>
        <v>0</v>
      </c>
      <c r="H83" s="7" t="s">
        <v>24</v>
      </c>
      <c r="I83" s="95">
        <f>SUM(Assessoria_jurídica5164779223548618598111124137150[[Custo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SUM(Animais_de_estimação5063768213447608497110123136149[[Custo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SUM(Transporte4457704173043568093106119132145[[Custo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SUM(Seguro4558715183144578194107120133146[[Custo ]])</f>
        <v>0</v>
      </c>
      <c r="E100" s="7" t="s">
        <v>24</v>
      </c>
      <c r="F100" s="95">
        <f>SUM(CuidadosPessoais526578241142740536690103116129142155[[Custo ]])</f>
        <v>0</v>
      </c>
      <c r="H100" s="7" t="s">
        <v>24</v>
      </c>
      <c r="I100" s="96">
        <f>SUM(Empréstimos435669122538516488101114127140153[[Custo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SUM(Impostos465972132639526589102115128141154[[Custo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SUM(Alimentação4861746193245588295108121134147[[Custo ]])</f>
        <v>0</v>
      </c>
      <c r="E108" s="7" t="s">
        <v>24</v>
      </c>
      <c r="F108" s="96">
        <f>SUM(Poupança476073236112437506387100113126139152[[Custo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X/7eTMumE9eN4L+n/7p8ie0S3E0sTUIxs9fh/8YcTg3KSL/z3v3bXnJeLPC2GIaCkSqNQJf0NqvJGHUjbed3XA==" saltValue="VyiGXYbSVH6TZsRu3xxR5w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disablePrompts="1" count="1">
    <dataValidation type="list" allowBlank="1" showInputMessage="1" showErrorMessage="1" sqref="R35:R64 P35:P64 N35:N64 L35:L64 J35:J64" xr:uid="{E91D939F-26F0-4A91-8319-F3E620C0E215}">
      <formula1>$J$35:$J$36</formula1>
    </dataValidation>
  </dataValidations>
  <hyperlinks>
    <hyperlink ref="B3" r:id="rId2" xr:uid="{A42AD40E-A81B-4C50-8108-C19708C74563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92A0-881A-4123-9D51-9F1A1FFA5E37}">
  <sheetPr>
    <tabColor theme="4"/>
  </sheetPr>
  <dimension ref="A1:Q176"/>
  <sheetViews>
    <sheetView showGridLines="0" tabSelected="1" zoomScale="51" zoomScaleNormal="51" workbookViewId="0">
      <selection activeCell="B3" sqref="B3:Q3"/>
    </sheetView>
  </sheetViews>
  <sheetFormatPr defaultRowHeight="13" x14ac:dyDescent="0.3"/>
  <cols>
    <col min="1" max="1" width="2.69921875" customWidth="1"/>
    <col min="2" max="2" width="29.3984375" customWidth="1"/>
    <col min="3" max="3" width="28.09765625" customWidth="1"/>
    <col min="4" max="16" width="20.69921875" customWidth="1"/>
  </cols>
  <sheetData>
    <row r="1" spans="1:17" ht="15" customHeight="1" x14ac:dyDescent="0.35">
      <c r="A1" s="13"/>
      <c r="B1" s="5"/>
      <c r="C1" s="5"/>
      <c r="D1" s="5"/>
      <c r="E1" s="5"/>
      <c r="F1" s="5"/>
      <c r="G1" s="5"/>
      <c r="H1" s="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6.5" customHeight="1" x14ac:dyDescent="0.65">
      <c r="A2" s="112" t="s">
        <v>188</v>
      </c>
      <c r="B2" s="126" t="s">
        <v>190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8" customHeight="1" x14ac:dyDescent="0.35">
      <c r="A4" s="13"/>
      <c r="B4" s="5"/>
      <c r="C4" s="109"/>
      <c r="D4" s="111"/>
      <c r="E4" s="5"/>
      <c r="F4" s="5"/>
      <c r="G4" s="5"/>
      <c r="H4" s="5"/>
      <c r="I4" s="125"/>
      <c r="J4" s="125"/>
      <c r="K4" s="125"/>
      <c r="L4" s="125"/>
      <c r="M4" s="125"/>
      <c r="N4" s="125"/>
      <c r="O4" s="125"/>
      <c r="P4" s="125"/>
      <c r="Q4" s="125"/>
    </row>
    <row r="6" spans="1:17" ht="13" customHeight="1" x14ac:dyDescent="0.3"/>
    <row r="7" spans="1:17" ht="13" customHeight="1" x14ac:dyDescent="0.3"/>
    <row r="9" spans="1:17" ht="25.5" customHeight="1" x14ac:dyDescent="0.3"/>
    <row r="10" spans="1:17" ht="25.5" customHeight="1" x14ac:dyDescent="0.3"/>
    <row r="11" spans="1:17" ht="25.5" customHeight="1" x14ac:dyDescent="0.3"/>
    <row r="12" spans="1:17" ht="25.5" customHeight="1" x14ac:dyDescent="0.3"/>
    <row r="13" spans="1:17" ht="25.5" customHeight="1" x14ac:dyDescent="0.3"/>
    <row r="14" spans="1:17" ht="25.5" customHeight="1" x14ac:dyDescent="0.3"/>
    <row r="15" spans="1:17" ht="25.5" customHeight="1" x14ac:dyDescent="0.3"/>
    <row r="16" spans="1:17" ht="25.5" customHeight="1" x14ac:dyDescent="0.3"/>
    <row r="17" ht="25.5" customHeight="1" x14ac:dyDescent="0.3"/>
    <row r="18" ht="25.5" customHeight="1" x14ac:dyDescent="0.3"/>
    <row r="19" ht="25.5" customHeight="1" x14ac:dyDescent="0.3"/>
    <row r="20" ht="25.5" customHeight="1" x14ac:dyDescent="0.3"/>
    <row r="21" ht="25.5" customHeight="1" x14ac:dyDescent="0.3"/>
    <row r="22" ht="25.5" customHeight="1" x14ac:dyDescent="0.3"/>
    <row r="23" ht="25.5" customHeight="1" x14ac:dyDescent="0.3"/>
    <row r="24" ht="25.5" customHeight="1" x14ac:dyDescent="0.3"/>
    <row r="25" ht="27" customHeight="1" x14ac:dyDescent="0.3"/>
    <row r="26" ht="16" customHeight="1" x14ac:dyDescent="0.3"/>
    <row r="27" ht="16" customHeight="1" x14ac:dyDescent="0.3"/>
    <row r="28" ht="16" customHeight="1" x14ac:dyDescent="0.3"/>
    <row r="32" ht="13" customHeight="1" x14ac:dyDescent="0.3"/>
    <row r="33" spans="2:16" ht="13" customHeight="1" x14ac:dyDescent="0.3"/>
    <row r="34" spans="2:16" ht="38" customHeight="1" x14ac:dyDescent="0.3"/>
    <row r="35" spans="2:16" ht="13" customHeight="1" x14ac:dyDescent="0.3"/>
    <row r="36" spans="2:16" ht="13" customHeight="1" x14ac:dyDescent="0.3"/>
    <row r="37" spans="2:16" ht="13" customHeight="1" x14ac:dyDescent="0.3"/>
    <row r="38" spans="2:16" ht="13" customHeight="1" x14ac:dyDescent="0.3"/>
    <row r="39" spans="2:16" ht="13" customHeight="1" x14ac:dyDescent="0.3"/>
    <row r="40" spans="2:16" ht="13" customHeight="1" x14ac:dyDescent="0.3"/>
    <row r="41" spans="2:16" ht="13" customHeight="1" x14ac:dyDescent="0.3">
      <c r="B41" s="123" t="s">
        <v>173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</row>
    <row r="42" spans="2:16" ht="13" customHeight="1" x14ac:dyDescent="0.3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2:16" ht="13" customHeight="1" x14ac:dyDescent="0.3">
      <c r="B43" s="15"/>
      <c r="C43" s="15"/>
      <c r="D43" s="15"/>
      <c r="E43" s="15"/>
      <c r="F43" s="15"/>
      <c r="G43" s="15"/>
      <c r="H43" s="15"/>
      <c r="I43" s="15"/>
    </row>
    <row r="44" spans="2:16" ht="13" customHeight="1" x14ac:dyDescent="0.3">
      <c r="B44" s="11" t="s">
        <v>132</v>
      </c>
      <c r="C44" s="136" t="s">
        <v>145</v>
      </c>
      <c r="D44" s="137"/>
      <c r="E44" s="12">
        <f>D59</f>
        <v>0</v>
      </c>
    </row>
    <row r="45" spans="2:16" ht="13" customHeight="1" x14ac:dyDescent="0.3">
      <c r="B45" s="138" t="s">
        <v>131</v>
      </c>
      <c r="C45" s="128" t="s">
        <v>144</v>
      </c>
      <c r="D45" s="129"/>
      <c r="E45" s="132">
        <f>SUM(D76+D86+D94+D107+D124+D131+D139+D145+D152+D160+D169+D176)</f>
        <v>0</v>
      </c>
    </row>
    <row r="46" spans="2:16" ht="13" customHeight="1" x14ac:dyDescent="0.3">
      <c r="B46" s="133"/>
      <c r="C46" s="130"/>
      <c r="D46" s="131"/>
      <c r="E46" s="133"/>
    </row>
    <row r="47" spans="2:16" ht="13" customHeight="1" x14ac:dyDescent="0.3">
      <c r="B47" s="16" t="s">
        <v>148</v>
      </c>
      <c r="C47" s="134" t="s">
        <v>149</v>
      </c>
      <c r="D47" s="135"/>
      <c r="E47" s="16">
        <f>E44-E45</f>
        <v>0</v>
      </c>
    </row>
    <row r="48" spans="2:16" ht="13" customHeight="1" x14ac:dyDescent="0.3"/>
    <row r="49" spans="2:16" ht="13" customHeight="1" x14ac:dyDescent="0.3"/>
    <row r="50" spans="2:16" ht="13" customHeight="1" x14ac:dyDescent="0.3"/>
    <row r="51" spans="2:16" ht="13" customHeight="1" x14ac:dyDescent="0.3">
      <c r="B51" s="123" t="s">
        <v>172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2:16" ht="13" customHeight="1" x14ac:dyDescent="0.3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2:16" ht="13" customHeight="1" x14ac:dyDescent="0.3"/>
    <row r="54" spans="2:16" ht="13" customHeight="1" x14ac:dyDescent="0.3"/>
    <row r="55" spans="2:16" ht="15" customHeight="1" x14ac:dyDescent="0.3">
      <c r="B55" s="17" t="s">
        <v>169</v>
      </c>
      <c r="C55" s="17" t="s">
        <v>168</v>
      </c>
      <c r="D55" s="24" t="s">
        <v>146</v>
      </c>
      <c r="E55" s="17" t="s">
        <v>150</v>
      </c>
      <c r="F55" s="17" t="s">
        <v>151</v>
      </c>
      <c r="G55" s="17" t="s">
        <v>152</v>
      </c>
      <c r="H55" s="17" t="s">
        <v>153</v>
      </c>
      <c r="I55" s="17" t="s">
        <v>154</v>
      </c>
      <c r="J55" s="17" t="s">
        <v>155</v>
      </c>
      <c r="K55" s="17" t="s">
        <v>156</v>
      </c>
      <c r="L55" s="17" t="s">
        <v>157</v>
      </c>
      <c r="M55" s="17" t="s">
        <v>158</v>
      </c>
      <c r="N55" s="17" t="s">
        <v>159</v>
      </c>
      <c r="O55" s="17" t="s">
        <v>160</v>
      </c>
      <c r="P55" s="17" t="s">
        <v>161</v>
      </c>
    </row>
    <row r="56" spans="2:16" ht="13" customHeight="1" x14ac:dyDescent="0.3">
      <c r="B56" s="119" t="s">
        <v>170</v>
      </c>
      <c r="C56" s="21" t="s">
        <v>119</v>
      </c>
      <c r="D56" s="26">
        <f t="shared" ref="D56:D58" si="0">SUM(E56:P56)</f>
        <v>0</v>
      </c>
      <c r="E56" s="22">
        <f>Jan!E32</f>
        <v>0</v>
      </c>
      <c r="F56" s="22">
        <f>Fev!E32</f>
        <v>0</v>
      </c>
      <c r="G56" s="99">
        <f>Mar!E32</f>
        <v>0</v>
      </c>
      <c r="H56" s="99">
        <f>Abr!E32</f>
        <v>0</v>
      </c>
      <c r="I56" s="99">
        <f>Mai!E32</f>
        <v>0</v>
      </c>
      <c r="J56" s="99">
        <f>Jun!E32</f>
        <v>0</v>
      </c>
      <c r="K56" s="99">
        <f>Jul!E32</f>
        <v>0</v>
      </c>
      <c r="L56" s="99">
        <f>Ago!E32</f>
        <v>0</v>
      </c>
      <c r="M56" s="99">
        <f>Set!E32</f>
        <v>0</v>
      </c>
      <c r="N56" s="99">
        <f>Out!E32</f>
        <v>0</v>
      </c>
      <c r="O56" s="99">
        <f>Nov!E32</f>
        <v>0</v>
      </c>
      <c r="P56" s="99">
        <f>Dez!E32</f>
        <v>0</v>
      </c>
    </row>
    <row r="57" spans="2:16" ht="13" customHeight="1" x14ac:dyDescent="0.3">
      <c r="B57" s="120"/>
      <c r="C57" s="18" t="s">
        <v>48</v>
      </c>
      <c r="D57" s="27">
        <f t="shared" si="0"/>
        <v>0</v>
      </c>
      <c r="E57" s="23">
        <f>Jan!E64</f>
        <v>0</v>
      </c>
      <c r="F57" s="23">
        <f>Fev!E64</f>
        <v>0</v>
      </c>
      <c r="G57" s="100">
        <f>Mar!E64</f>
        <v>0</v>
      </c>
      <c r="H57" s="100">
        <f>Abr!E64</f>
        <v>0</v>
      </c>
      <c r="I57" s="100">
        <f>Mai!E64</f>
        <v>0</v>
      </c>
      <c r="J57" s="100">
        <f>Jun!E64</f>
        <v>0</v>
      </c>
      <c r="K57" s="100">
        <f>Jul!E64</f>
        <v>0</v>
      </c>
      <c r="L57" s="100">
        <f>Ago!E64</f>
        <v>0</v>
      </c>
      <c r="M57" s="100">
        <f>Set!E64</f>
        <v>0</v>
      </c>
      <c r="N57" s="100">
        <f>Out!E64</f>
        <v>0</v>
      </c>
      <c r="O57" s="100">
        <f>Nov!E64</f>
        <v>0</v>
      </c>
      <c r="P57" s="100">
        <f>Dez!E64</f>
        <v>0</v>
      </c>
    </row>
    <row r="58" spans="2:16" ht="13" customHeight="1" x14ac:dyDescent="0.3">
      <c r="B58" s="120"/>
      <c r="C58" s="21" t="s">
        <v>48</v>
      </c>
      <c r="D58" s="26">
        <f t="shared" si="0"/>
        <v>0</v>
      </c>
      <c r="E58" s="22">
        <f>Jan!E65</f>
        <v>0</v>
      </c>
      <c r="F58" s="22">
        <f>Fev!E65</f>
        <v>0</v>
      </c>
      <c r="G58" s="22">
        <f>Mar!E65</f>
        <v>0</v>
      </c>
      <c r="H58" s="22">
        <f>Abr!E65</f>
        <v>0</v>
      </c>
      <c r="I58" s="22">
        <f>Mai!E65</f>
        <v>0</v>
      </c>
      <c r="J58" s="22">
        <f>Jun!E65</f>
        <v>0</v>
      </c>
      <c r="K58" s="22">
        <f>Jul!E65</f>
        <v>0</v>
      </c>
      <c r="L58" s="22">
        <f>Ago!E65</f>
        <v>0</v>
      </c>
      <c r="M58" s="22">
        <f>Set!E65</f>
        <v>0</v>
      </c>
      <c r="N58" s="22">
        <f>Out!E65</f>
        <v>0</v>
      </c>
      <c r="O58" s="22">
        <f>Nov!E65</f>
        <v>0</v>
      </c>
      <c r="P58" s="22">
        <f>Dez!E65</f>
        <v>0</v>
      </c>
    </row>
    <row r="59" spans="2:16" ht="13" customHeight="1" x14ac:dyDescent="0.3">
      <c r="B59" s="122"/>
      <c r="C59" s="20" t="s">
        <v>146</v>
      </c>
      <c r="D59" s="25">
        <f>SUM(E59:P59)</f>
        <v>0</v>
      </c>
      <c r="E59" s="25">
        <f>Jan!E66</f>
        <v>0</v>
      </c>
      <c r="F59" s="25">
        <f>Fev!E66</f>
        <v>0</v>
      </c>
      <c r="G59" s="25">
        <f>Mar!E66</f>
        <v>0</v>
      </c>
      <c r="H59" s="25">
        <f>Abr!E66</f>
        <v>0</v>
      </c>
      <c r="I59" s="25">
        <f>Mai!E66</f>
        <v>0</v>
      </c>
      <c r="J59" s="25">
        <f>Jun!E66</f>
        <v>0</v>
      </c>
      <c r="K59" s="25">
        <f>Jul!E66</f>
        <v>0</v>
      </c>
      <c r="L59" s="25">
        <f>Ago!E66</f>
        <v>0</v>
      </c>
      <c r="M59" s="25">
        <f>Set!E66</f>
        <v>0</v>
      </c>
      <c r="N59" s="25">
        <f>Out!E66</f>
        <v>0</v>
      </c>
      <c r="O59" s="25">
        <f>Nov!E66</f>
        <v>0</v>
      </c>
      <c r="P59" s="25">
        <f>Dez!E66</f>
        <v>0</v>
      </c>
    </row>
    <row r="60" spans="2:16" ht="13" customHeight="1" x14ac:dyDescent="0.3"/>
    <row r="61" spans="2:16" ht="13" customHeight="1" x14ac:dyDescent="0.3"/>
    <row r="62" spans="2:16" ht="13" customHeight="1" x14ac:dyDescent="0.3">
      <c r="B62" s="123" t="s">
        <v>171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</row>
    <row r="63" spans="2:16" ht="16" customHeight="1" x14ac:dyDescent="0.3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</row>
    <row r="64" spans="2:16" ht="15" customHeight="1" x14ac:dyDescent="0.3"/>
    <row r="65" spans="1:16" ht="15" customHeight="1" x14ac:dyDescent="0.3">
      <c r="B65" s="17" t="s">
        <v>169</v>
      </c>
      <c r="C65" s="17" t="s">
        <v>168</v>
      </c>
      <c r="D65" s="32" t="s">
        <v>146</v>
      </c>
      <c r="E65" s="32" t="s">
        <v>150</v>
      </c>
      <c r="F65" s="17" t="s">
        <v>151</v>
      </c>
      <c r="G65" s="17" t="s">
        <v>152</v>
      </c>
      <c r="H65" s="17" t="s">
        <v>153</v>
      </c>
      <c r="I65" s="17" t="s">
        <v>154</v>
      </c>
      <c r="J65" s="17" t="s">
        <v>155</v>
      </c>
      <c r="K65" s="17" t="s">
        <v>156</v>
      </c>
      <c r="L65" s="17" t="s">
        <v>157</v>
      </c>
      <c r="M65" s="17" t="s">
        <v>158</v>
      </c>
      <c r="N65" s="17" t="s">
        <v>159</v>
      </c>
      <c r="O65" s="17" t="s">
        <v>160</v>
      </c>
      <c r="P65" s="17" t="s">
        <v>161</v>
      </c>
    </row>
    <row r="66" spans="1:16" ht="15" customHeight="1" x14ac:dyDescent="0.3">
      <c r="B66" s="119" t="s">
        <v>14</v>
      </c>
      <c r="C66" s="7" t="str">
        <f>Jan!B73</f>
        <v>Aluguel</v>
      </c>
      <c r="D66" s="42">
        <f>SUM(E66:P66)</f>
        <v>0</v>
      </c>
      <c r="E66" s="33">
        <f>Jan!C73</f>
        <v>0</v>
      </c>
      <c r="F66" s="34">
        <f>Fev!C73</f>
        <v>0</v>
      </c>
      <c r="G66" s="23">
        <f>Mar!C73</f>
        <v>0</v>
      </c>
      <c r="H66" s="23">
        <f>Abr!C73</f>
        <v>0</v>
      </c>
      <c r="I66" s="23">
        <f>Mai!C73</f>
        <v>0</v>
      </c>
      <c r="J66" s="23">
        <f>Jun!C73</f>
        <v>0</v>
      </c>
      <c r="K66" s="23">
        <f>Jul!C73</f>
        <v>0</v>
      </c>
      <c r="L66" s="23">
        <f>Ago!C73</f>
        <v>0</v>
      </c>
      <c r="M66" s="23">
        <f>Set!C73</f>
        <v>0</v>
      </c>
      <c r="N66" s="23">
        <f>Out!C73</f>
        <v>0</v>
      </c>
      <c r="O66" s="23">
        <f>Nov!C73</f>
        <v>0</v>
      </c>
      <c r="P66" s="23">
        <f>Dez!C73</f>
        <v>0</v>
      </c>
    </row>
    <row r="67" spans="1:16" ht="15" customHeight="1" x14ac:dyDescent="0.3">
      <c r="B67" s="120"/>
      <c r="C67" s="7" t="str">
        <f>Jan!B74</f>
        <v>Telefone</v>
      </c>
      <c r="D67" s="42">
        <f>SUM(E67:P67)</f>
        <v>0</v>
      </c>
      <c r="E67" s="33">
        <f>Jan!C74</f>
        <v>0</v>
      </c>
      <c r="F67" s="34">
        <f>Fev!C74</f>
        <v>0</v>
      </c>
      <c r="G67" s="23">
        <f>Mar!C74</f>
        <v>0</v>
      </c>
      <c r="H67" s="23">
        <f>Abr!C74</f>
        <v>0</v>
      </c>
      <c r="I67" s="23">
        <f>Mai!C74</f>
        <v>0</v>
      </c>
      <c r="J67" s="23">
        <f>Jun!C74</f>
        <v>0</v>
      </c>
      <c r="K67" s="23">
        <f>Jul!C74</f>
        <v>0</v>
      </c>
      <c r="L67" s="23">
        <f>Ago!C74</f>
        <v>0</v>
      </c>
      <c r="M67" s="23">
        <f>Set!C74</f>
        <v>0</v>
      </c>
      <c r="N67" s="23">
        <f>Out!C74</f>
        <v>0</v>
      </c>
      <c r="O67" s="23">
        <f>Nov!C74</f>
        <v>0</v>
      </c>
      <c r="P67" s="23">
        <f>Dez!C74</f>
        <v>0</v>
      </c>
    </row>
    <row r="68" spans="1:16" ht="15" customHeight="1" x14ac:dyDescent="0.3">
      <c r="B68" s="120"/>
      <c r="C68" s="7" t="str">
        <f>Jan!B75</f>
        <v>Conta de luz</v>
      </c>
      <c r="D68" s="42">
        <f t="shared" ref="D68:D145" si="1">SUM(E68:P68)</f>
        <v>0</v>
      </c>
      <c r="E68" s="33">
        <f>Jan!C75</f>
        <v>0</v>
      </c>
      <c r="F68" s="34">
        <f>Fev!C75</f>
        <v>0</v>
      </c>
      <c r="G68" s="23">
        <f>Mar!C75</f>
        <v>0</v>
      </c>
      <c r="H68" s="23">
        <f>Abr!C75</f>
        <v>0</v>
      </c>
      <c r="I68" s="23">
        <f>Mai!C75</f>
        <v>0</v>
      </c>
      <c r="J68" s="23">
        <f>Jun!C75</f>
        <v>0</v>
      </c>
      <c r="K68" s="23">
        <f>Jul!C75</f>
        <v>0</v>
      </c>
      <c r="L68" s="23">
        <f>Ago!C75</f>
        <v>0</v>
      </c>
      <c r="M68" s="23">
        <f>Set!C75</f>
        <v>0</v>
      </c>
      <c r="N68" s="23">
        <f>Out!C75</f>
        <v>0</v>
      </c>
      <c r="O68" s="23">
        <f>Nov!C75</f>
        <v>0</v>
      </c>
      <c r="P68" s="23">
        <f>Dez!C75</f>
        <v>0</v>
      </c>
    </row>
    <row r="69" spans="1:16" ht="15" customHeight="1" x14ac:dyDescent="0.3">
      <c r="B69" s="120"/>
      <c r="C69" s="7" t="str">
        <f>Jan!B76</f>
        <v>Gás</v>
      </c>
      <c r="D69" s="42">
        <f t="shared" si="1"/>
        <v>0</v>
      </c>
      <c r="E69" s="33">
        <f>Jan!C76</f>
        <v>0</v>
      </c>
      <c r="F69" s="34">
        <f>Fev!C76</f>
        <v>0</v>
      </c>
      <c r="G69" s="23">
        <f>Mar!C76</f>
        <v>0</v>
      </c>
      <c r="H69" s="23">
        <f>Abr!C76</f>
        <v>0</v>
      </c>
      <c r="I69" s="23">
        <f>Mai!C76</f>
        <v>0</v>
      </c>
      <c r="J69" s="23">
        <f>Jun!C76</f>
        <v>0</v>
      </c>
      <c r="K69" s="23">
        <f>Jul!C76</f>
        <v>0</v>
      </c>
      <c r="L69" s="23">
        <f>Ago!C76</f>
        <v>0</v>
      </c>
      <c r="M69" s="23">
        <f>Set!C76</f>
        <v>0</v>
      </c>
      <c r="N69" s="23">
        <f>Out!C76</f>
        <v>0</v>
      </c>
      <c r="O69" s="23">
        <f>Nov!C76</f>
        <v>0</v>
      </c>
      <c r="P69" s="23">
        <f>Dez!C76</f>
        <v>0</v>
      </c>
    </row>
    <row r="70" spans="1:16" ht="15" customHeight="1" x14ac:dyDescent="0.3">
      <c r="B70" s="120"/>
      <c r="C70" s="7" t="str">
        <f>Jan!B77</f>
        <v>Água e esgoto</v>
      </c>
      <c r="D70" s="42">
        <f t="shared" si="1"/>
        <v>0</v>
      </c>
      <c r="E70" s="33">
        <f>Jan!C77</f>
        <v>0</v>
      </c>
      <c r="F70" s="34">
        <f>Fev!C77</f>
        <v>0</v>
      </c>
      <c r="G70" s="23">
        <f>Mar!C77</f>
        <v>0</v>
      </c>
      <c r="H70" s="23">
        <f>Abr!C77</f>
        <v>0</v>
      </c>
      <c r="I70" s="23">
        <f>Mai!C77</f>
        <v>0</v>
      </c>
      <c r="J70" s="23">
        <f>Jun!C77</f>
        <v>0</v>
      </c>
      <c r="K70" s="23">
        <f>Jul!C77</f>
        <v>0</v>
      </c>
      <c r="L70" s="23">
        <f>Ago!C77</f>
        <v>0</v>
      </c>
      <c r="M70" s="23">
        <f>Set!C77</f>
        <v>0</v>
      </c>
      <c r="N70" s="23">
        <f>Out!C77</f>
        <v>0</v>
      </c>
      <c r="O70" s="23">
        <f>Nov!C77</f>
        <v>0</v>
      </c>
      <c r="P70" s="23">
        <f>Dez!C77</f>
        <v>0</v>
      </c>
    </row>
    <row r="71" spans="1:16" ht="15" customHeight="1" x14ac:dyDescent="0.3">
      <c r="B71" s="120"/>
      <c r="C71" s="7" t="str">
        <f>Jan!B78</f>
        <v>TV a cabo</v>
      </c>
      <c r="D71" s="42">
        <f t="shared" si="1"/>
        <v>0</v>
      </c>
      <c r="E71" s="33">
        <f>Jan!C78</f>
        <v>0</v>
      </c>
      <c r="F71" s="34">
        <f>Fev!C78</f>
        <v>0</v>
      </c>
      <c r="G71" s="23">
        <f>Mar!C78</f>
        <v>0</v>
      </c>
      <c r="H71" s="23">
        <f>Abr!C78</f>
        <v>0</v>
      </c>
      <c r="I71" s="23">
        <f>Mai!C78</f>
        <v>0</v>
      </c>
      <c r="J71" s="23">
        <f>Jun!C78</f>
        <v>0</v>
      </c>
      <c r="K71" s="23">
        <f>Jul!C78</f>
        <v>0</v>
      </c>
      <c r="L71" s="23">
        <f>Ago!C78</f>
        <v>0</v>
      </c>
      <c r="M71" s="23">
        <f>Set!C78</f>
        <v>0</v>
      </c>
      <c r="N71" s="23">
        <f>Out!C78</f>
        <v>0</v>
      </c>
      <c r="O71" s="23">
        <f>Nov!C78</f>
        <v>0</v>
      </c>
      <c r="P71" s="23">
        <f>Dez!C78</f>
        <v>0</v>
      </c>
    </row>
    <row r="72" spans="1:16" ht="15" customHeight="1" x14ac:dyDescent="0.3">
      <c r="B72" s="120"/>
      <c r="C72" s="7" t="str">
        <f>Jan!B79</f>
        <v>Coleta de lixo</v>
      </c>
      <c r="D72" s="42">
        <f t="shared" si="1"/>
        <v>0</v>
      </c>
      <c r="E72" s="33">
        <f>Jan!C79</f>
        <v>0</v>
      </c>
      <c r="F72" s="34">
        <f>Fev!C79</f>
        <v>0</v>
      </c>
      <c r="G72" s="23">
        <f>Mar!C79</f>
        <v>0</v>
      </c>
      <c r="H72" s="23">
        <f>Abr!C79</f>
        <v>0</v>
      </c>
      <c r="I72" s="23">
        <f>Mai!C79</f>
        <v>0</v>
      </c>
      <c r="J72" s="23">
        <f>Jun!C79</f>
        <v>0</v>
      </c>
      <c r="K72" s="23">
        <f>Jul!C79</f>
        <v>0</v>
      </c>
      <c r="L72" s="23">
        <f>Ago!C79</f>
        <v>0</v>
      </c>
      <c r="M72" s="23">
        <f>Set!C79</f>
        <v>0</v>
      </c>
      <c r="N72" s="23">
        <f>Out!C79</f>
        <v>0</v>
      </c>
      <c r="O72" s="23">
        <f>Nov!C79</f>
        <v>0</v>
      </c>
      <c r="P72" s="23">
        <f>Dez!C79</f>
        <v>0</v>
      </c>
    </row>
    <row r="73" spans="1:16" ht="15" customHeight="1" x14ac:dyDescent="0.3">
      <c r="B73" s="120"/>
      <c r="C73" s="7" t="str">
        <f>Jan!B80</f>
        <v>Manutenção ou reparos</v>
      </c>
      <c r="D73" s="42">
        <f t="shared" si="1"/>
        <v>0</v>
      </c>
      <c r="E73" s="33">
        <f>Jan!C80</f>
        <v>0</v>
      </c>
      <c r="F73" s="34">
        <f>Fev!C80</f>
        <v>0</v>
      </c>
      <c r="G73" s="23">
        <f>Mar!C80</f>
        <v>0</v>
      </c>
      <c r="H73" s="23">
        <f>Abr!C80</f>
        <v>0</v>
      </c>
      <c r="I73" s="23">
        <f>Mai!C80</f>
        <v>0</v>
      </c>
      <c r="J73" s="23">
        <f>Jun!C80</f>
        <v>0</v>
      </c>
      <c r="K73" s="23">
        <f>Jul!C80</f>
        <v>0</v>
      </c>
      <c r="L73" s="23">
        <f>Ago!C80</f>
        <v>0</v>
      </c>
      <c r="M73" s="23">
        <f>Set!C80</f>
        <v>0</v>
      </c>
      <c r="N73" s="23">
        <f>Out!C80</f>
        <v>0</v>
      </c>
      <c r="O73" s="23">
        <f>Nov!C80</f>
        <v>0</v>
      </c>
      <c r="P73" s="23">
        <f>Dez!C80</f>
        <v>0</v>
      </c>
    </row>
    <row r="74" spans="1:16" ht="15" customHeight="1" x14ac:dyDescent="0.3">
      <c r="B74" s="120"/>
      <c r="C74" s="7" t="str">
        <f>Jan!B81</f>
        <v>Suprimentos</v>
      </c>
      <c r="D74" s="42">
        <f t="shared" si="1"/>
        <v>0</v>
      </c>
      <c r="E74" s="33">
        <f>Jan!C81</f>
        <v>0</v>
      </c>
      <c r="F74" s="34">
        <f>Fev!C81</f>
        <v>0</v>
      </c>
      <c r="G74" s="23">
        <f>Mar!C81</f>
        <v>0</v>
      </c>
      <c r="H74" s="23">
        <f>Abr!C81</f>
        <v>0</v>
      </c>
      <c r="I74" s="23">
        <f>Mai!C81</f>
        <v>0</v>
      </c>
      <c r="J74" s="23">
        <f>Jun!C81</f>
        <v>0</v>
      </c>
      <c r="K74" s="23">
        <f>Jul!C81</f>
        <v>0</v>
      </c>
      <c r="L74" s="23">
        <f>Ago!C81</f>
        <v>0</v>
      </c>
      <c r="M74" s="23">
        <f>Set!C81</f>
        <v>0</v>
      </c>
      <c r="N74" s="23">
        <f>Out!C81</f>
        <v>0</v>
      </c>
      <c r="O74" s="23">
        <f>Nov!C81</f>
        <v>0</v>
      </c>
      <c r="P74" s="23">
        <f>Dez!C81</f>
        <v>0</v>
      </c>
    </row>
    <row r="75" spans="1:16" ht="15" customHeight="1" x14ac:dyDescent="0.3">
      <c r="B75" s="120"/>
      <c r="C75" s="7" t="str">
        <f>Jan!B82</f>
        <v>Outros</v>
      </c>
      <c r="D75" s="42">
        <f t="shared" si="1"/>
        <v>0</v>
      </c>
      <c r="E75" s="33">
        <f>Jan!C82</f>
        <v>0</v>
      </c>
      <c r="F75" s="34">
        <f>Fev!C82</f>
        <v>0</v>
      </c>
      <c r="G75" s="23">
        <f>Mar!C82</f>
        <v>0</v>
      </c>
      <c r="H75" s="23">
        <f>Abr!C82</f>
        <v>0</v>
      </c>
      <c r="I75" s="23">
        <f>Mai!C82</f>
        <v>0</v>
      </c>
      <c r="J75" s="23">
        <f>Jun!C82</f>
        <v>0</v>
      </c>
      <c r="K75" s="23">
        <f>Jul!C82</f>
        <v>0</v>
      </c>
      <c r="L75" s="23">
        <f>Ago!C82</f>
        <v>0</v>
      </c>
      <c r="M75" s="23">
        <f>Set!C82</f>
        <v>0</v>
      </c>
      <c r="N75" s="23">
        <f>Out!C82</f>
        <v>0</v>
      </c>
      <c r="O75" s="23">
        <f>Nov!C82</f>
        <v>0</v>
      </c>
      <c r="P75" s="23">
        <f>Dez!C82</f>
        <v>0</v>
      </c>
    </row>
    <row r="76" spans="1:16" x14ac:dyDescent="0.3">
      <c r="A76" s="20"/>
      <c r="B76" s="121"/>
      <c r="C76" s="43" t="str">
        <f>Jan!B83</f>
        <v>Subtotal</v>
      </c>
      <c r="D76" s="43">
        <f t="shared" si="1"/>
        <v>0</v>
      </c>
      <c r="E76" s="30">
        <f>Jan!C83</f>
        <v>0</v>
      </c>
      <c r="F76" s="30">
        <f>Fev!C83</f>
        <v>0</v>
      </c>
      <c r="G76" s="30">
        <f>Mar!C83</f>
        <v>0</v>
      </c>
      <c r="H76" s="30">
        <f>Abr!C83</f>
        <v>0</v>
      </c>
      <c r="I76" s="30">
        <f>Mai!C83</f>
        <v>0</v>
      </c>
      <c r="J76" s="30">
        <f>Jun!C83</f>
        <v>0</v>
      </c>
      <c r="K76" s="30">
        <f>Jul!C83</f>
        <v>0</v>
      </c>
      <c r="L76" s="30">
        <f>Ago!C83</f>
        <v>0</v>
      </c>
      <c r="M76" s="30">
        <f>Set!C83</f>
        <v>0</v>
      </c>
      <c r="N76" s="30">
        <f>Out!C83</f>
        <v>0</v>
      </c>
      <c r="O76" s="30">
        <f>Nov!C83</f>
        <v>0</v>
      </c>
      <c r="P76" s="30">
        <f>Dez!C83</f>
        <v>0</v>
      </c>
    </row>
    <row r="77" spans="1:16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6" ht="15" customHeight="1" thickBot="1" x14ac:dyDescent="0.35">
      <c r="A78" s="38"/>
      <c r="B78" s="39" t="s">
        <v>169</v>
      </c>
      <c r="C78" s="39" t="s">
        <v>168</v>
      </c>
      <c r="D78" s="39" t="s">
        <v>146</v>
      </c>
      <c r="E78" s="39" t="s">
        <v>150</v>
      </c>
      <c r="F78" s="39" t="s">
        <v>151</v>
      </c>
      <c r="G78" s="39" t="s">
        <v>152</v>
      </c>
      <c r="H78" s="39" t="s">
        <v>153</v>
      </c>
      <c r="I78" s="39" t="s">
        <v>154</v>
      </c>
      <c r="J78" s="39" t="s">
        <v>155</v>
      </c>
      <c r="K78" s="39" t="s">
        <v>156</v>
      </c>
      <c r="L78" s="39" t="s">
        <v>157</v>
      </c>
      <c r="M78" s="39" t="s">
        <v>158</v>
      </c>
      <c r="N78" s="39" t="s">
        <v>159</v>
      </c>
      <c r="O78" s="39" t="s">
        <v>160</v>
      </c>
      <c r="P78" s="39" t="s">
        <v>161</v>
      </c>
    </row>
    <row r="79" spans="1:16" ht="15" customHeight="1" x14ac:dyDescent="0.3">
      <c r="B79" s="119" t="s">
        <v>25</v>
      </c>
      <c r="C79" s="18" t="str">
        <f>Jan!B86</f>
        <v>Pagamento do veículo</v>
      </c>
      <c r="D79" s="42">
        <f t="shared" si="1"/>
        <v>0</v>
      </c>
      <c r="E79" s="31">
        <f>Jan!C86</f>
        <v>0</v>
      </c>
      <c r="F79" s="23">
        <f>Fev!C86</f>
        <v>0</v>
      </c>
      <c r="G79" s="23">
        <f>Mar!C86</f>
        <v>0</v>
      </c>
      <c r="H79" s="23">
        <f>Abr!C86</f>
        <v>0</v>
      </c>
      <c r="I79" s="23">
        <f>Mai!C86</f>
        <v>0</v>
      </c>
      <c r="J79" s="23">
        <f>Jun!C86</f>
        <v>0</v>
      </c>
      <c r="K79" s="23">
        <f>Jul!C86</f>
        <v>0</v>
      </c>
      <c r="L79" s="23">
        <f>Ago!C86</f>
        <v>0</v>
      </c>
      <c r="M79" s="23">
        <f>Set!C86</f>
        <v>0</v>
      </c>
      <c r="N79" s="23">
        <f>Out!C86</f>
        <v>0</v>
      </c>
      <c r="O79" s="23">
        <f>Nov!C86</f>
        <v>0</v>
      </c>
      <c r="P79" s="23">
        <f>Dez!C86</f>
        <v>0</v>
      </c>
    </row>
    <row r="80" spans="1:16" ht="15" customHeight="1" x14ac:dyDescent="0.3">
      <c r="B80" s="120"/>
      <c r="C80" s="18" t="str">
        <f>Jan!B87</f>
        <v>Transporte público/táxi</v>
      </c>
      <c r="D80" s="42">
        <f t="shared" si="1"/>
        <v>0</v>
      </c>
      <c r="E80" s="31">
        <f>Jan!C87</f>
        <v>0</v>
      </c>
      <c r="F80" s="23">
        <f>Fev!C87</f>
        <v>0</v>
      </c>
      <c r="G80" s="23">
        <f>Mar!C87</f>
        <v>0</v>
      </c>
      <c r="H80" s="23">
        <f>Abr!C87</f>
        <v>0</v>
      </c>
      <c r="I80" s="23">
        <f>Mai!C87</f>
        <v>0</v>
      </c>
      <c r="J80" s="23">
        <f>Jun!C87</f>
        <v>0</v>
      </c>
      <c r="K80" s="23">
        <f>Jul!C87</f>
        <v>0</v>
      </c>
      <c r="L80" s="23">
        <f>Ago!C87</f>
        <v>0</v>
      </c>
      <c r="M80" s="23">
        <f>Set!C87</f>
        <v>0</v>
      </c>
      <c r="N80" s="23">
        <f>Out!C87</f>
        <v>0</v>
      </c>
      <c r="O80" s="23">
        <f>Nov!C87</f>
        <v>0</v>
      </c>
      <c r="P80" s="23">
        <f>Dez!C87</f>
        <v>0</v>
      </c>
    </row>
    <row r="81" spans="1:16" ht="15" customHeight="1" x14ac:dyDescent="0.3">
      <c r="B81" s="120"/>
      <c r="C81" s="18" t="str">
        <f>Jan!B88</f>
        <v>Seguro</v>
      </c>
      <c r="D81" s="42">
        <f t="shared" si="1"/>
        <v>0</v>
      </c>
      <c r="E81" s="31">
        <f>Jan!C88</f>
        <v>0</v>
      </c>
      <c r="F81" s="23">
        <f>Fev!C88</f>
        <v>0</v>
      </c>
      <c r="G81" s="23">
        <f>Mar!C88</f>
        <v>0</v>
      </c>
      <c r="H81" s="23">
        <f>Abr!C88</f>
        <v>0</v>
      </c>
      <c r="I81" s="23">
        <f>Mai!C88</f>
        <v>0</v>
      </c>
      <c r="J81" s="23">
        <f>Jun!C88</f>
        <v>0</v>
      </c>
      <c r="K81" s="23">
        <f>Jul!C88</f>
        <v>0</v>
      </c>
      <c r="L81" s="23">
        <f>Ago!C88</f>
        <v>0</v>
      </c>
      <c r="M81" s="23">
        <f>Set!C88</f>
        <v>0</v>
      </c>
      <c r="N81" s="23">
        <f>Out!C88</f>
        <v>0</v>
      </c>
      <c r="O81" s="23">
        <f>Nov!C88</f>
        <v>0</v>
      </c>
      <c r="P81" s="23">
        <f>Dez!C88</f>
        <v>0</v>
      </c>
    </row>
    <row r="82" spans="1:16" ht="15" customHeight="1" x14ac:dyDescent="0.3">
      <c r="B82" s="120"/>
      <c r="C82" s="18" t="str">
        <f>Jan!B89</f>
        <v>Licenciamento</v>
      </c>
      <c r="D82" s="42">
        <f t="shared" si="1"/>
        <v>0</v>
      </c>
      <c r="E82" s="31">
        <f>Jan!C89</f>
        <v>0</v>
      </c>
      <c r="F82" s="23">
        <f>Fev!C89</f>
        <v>0</v>
      </c>
      <c r="G82" s="23">
        <f>Mar!C89</f>
        <v>0</v>
      </c>
      <c r="H82" s="23">
        <f>Abr!C89</f>
        <v>0</v>
      </c>
      <c r="I82" s="23">
        <f>Mai!C89</f>
        <v>0</v>
      </c>
      <c r="J82" s="23">
        <f>Jun!C89</f>
        <v>0</v>
      </c>
      <c r="K82" s="23">
        <f>Jul!C89</f>
        <v>0</v>
      </c>
      <c r="L82" s="23">
        <f>Ago!C89</f>
        <v>0</v>
      </c>
      <c r="M82" s="23">
        <f>Set!C89</f>
        <v>0</v>
      </c>
      <c r="N82" s="23">
        <f>Out!C89</f>
        <v>0</v>
      </c>
      <c r="O82" s="23">
        <f>Nov!C89</f>
        <v>0</v>
      </c>
      <c r="P82" s="23">
        <f>Dez!C89</f>
        <v>0</v>
      </c>
    </row>
    <row r="83" spans="1:16" ht="15" customHeight="1" x14ac:dyDescent="0.3">
      <c r="B83" s="120"/>
      <c r="C83" s="18" t="str">
        <f>Jan!B90</f>
        <v>Combustível</v>
      </c>
      <c r="D83" s="42">
        <f t="shared" si="1"/>
        <v>0</v>
      </c>
      <c r="E83" s="31">
        <f>Jan!C90</f>
        <v>0</v>
      </c>
      <c r="F83" s="23">
        <f>Fev!C90</f>
        <v>0</v>
      </c>
      <c r="G83" s="23">
        <f>Mar!C90</f>
        <v>0</v>
      </c>
      <c r="H83" s="23">
        <f>Abr!C90</f>
        <v>0</v>
      </c>
      <c r="I83" s="23">
        <f>Mai!C90</f>
        <v>0</v>
      </c>
      <c r="J83" s="23">
        <f>Jun!C90</f>
        <v>0</v>
      </c>
      <c r="K83" s="23">
        <f>Jul!C90</f>
        <v>0</v>
      </c>
      <c r="L83" s="23">
        <f>Ago!C90</f>
        <v>0</v>
      </c>
      <c r="M83" s="23">
        <f>Set!C90</f>
        <v>0</v>
      </c>
      <c r="N83" s="23">
        <f>Out!C90</f>
        <v>0</v>
      </c>
      <c r="O83" s="23">
        <f>Nov!C90</f>
        <v>0</v>
      </c>
      <c r="P83" s="23">
        <f>Dez!C90</f>
        <v>0</v>
      </c>
    </row>
    <row r="84" spans="1:16" ht="15" customHeight="1" x14ac:dyDescent="0.3">
      <c r="B84" s="120"/>
      <c r="C84" s="18" t="str">
        <f>Jan!B91</f>
        <v>Manutenção</v>
      </c>
      <c r="D84" s="42">
        <f t="shared" si="1"/>
        <v>0</v>
      </c>
      <c r="E84" s="31">
        <f>Jan!C91</f>
        <v>0</v>
      </c>
      <c r="F84" s="23">
        <f>Fev!C91</f>
        <v>0</v>
      </c>
      <c r="G84" s="23">
        <f>Mar!C91</f>
        <v>0</v>
      </c>
      <c r="H84" s="23">
        <f>Abr!C91</f>
        <v>0</v>
      </c>
      <c r="I84" s="23">
        <f>Mai!C91</f>
        <v>0</v>
      </c>
      <c r="J84" s="23">
        <f>Jun!C91</f>
        <v>0</v>
      </c>
      <c r="K84" s="23">
        <f>Jul!C91</f>
        <v>0</v>
      </c>
      <c r="L84" s="23">
        <f>Ago!C91</f>
        <v>0</v>
      </c>
      <c r="M84" s="23">
        <f>Set!C91</f>
        <v>0</v>
      </c>
      <c r="N84" s="23">
        <f>Out!C91</f>
        <v>0</v>
      </c>
      <c r="O84" s="23">
        <f>Nov!C91</f>
        <v>0</v>
      </c>
      <c r="P84" s="23">
        <f>Dez!C91</f>
        <v>0</v>
      </c>
    </row>
    <row r="85" spans="1:16" ht="15" customHeight="1" x14ac:dyDescent="0.3">
      <c r="B85" s="120"/>
      <c r="C85" s="18" t="str">
        <f>Jan!B92</f>
        <v>Outros</v>
      </c>
      <c r="D85" s="42">
        <f t="shared" si="1"/>
        <v>0</v>
      </c>
      <c r="E85" s="31">
        <f>Jan!C92</f>
        <v>0</v>
      </c>
      <c r="F85" s="23">
        <f>Fev!C92</f>
        <v>0</v>
      </c>
      <c r="G85" s="23">
        <f>Mar!C92</f>
        <v>0</v>
      </c>
      <c r="H85" s="23">
        <f>Abr!C92</f>
        <v>0</v>
      </c>
      <c r="I85" s="23">
        <f>Mai!C92</f>
        <v>0</v>
      </c>
      <c r="J85" s="23">
        <f>Jun!C92</f>
        <v>0</v>
      </c>
      <c r="K85" s="23">
        <f>Jul!C92</f>
        <v>0</v>
      </c>
      <c r="L85" s="23">
        <f>Ago!C92</f>
        <v>0</v>
      </c>
      <c r="M85" s="23">
        <f>Set!C92</f>
        <v>0</v>
      </c>
      <c r="N85" s="23">
        <f>Out!C92</f>
        <v>0</v>
      </c>
      <c r="O85" s="23">
        <f>Nov!C92</f>
        <v>0</v>
      </c>
      <c r="P85" s="23">
        <f>Dez!C92</f>
        <v>0</v>
      </c>
    </row>
    <row r="86" spans="1:16" x14ac:dyDescent="0.3">
      <c r="A86" s="20"/>
      <c r="B86" s="121"/>
      <c r="C86" s="43" t="str">
        <f>Jan!B93</f>
        <v>Subtotal</v>
      </c>
      <c r="D86" s="43">
        <f t="shared" si="1"/>
        <v>0</v>
      </c>
      <c r="E86" s="30">
        <f>Jan!C93</f>
        <v>0</v>
      </c>
      <c r="F86" s="30">
        <f>Fev!C93</f>
        <v>0</v>
      </c>
      <c r="G86" s="30">
        <f>Mar!C93</f>
        <v>0</v>
      </c>
      <c r="H86" s="30">
        <f>Abr!C93</f>
        <v>0</v>
      </c>
      <c r="I86" s="30">
        <f>Mai!C93</f>
        <v>0</v>
      </c>
      <c r="J86" s="30">
        <f>Jun!C93</f>
        <v>0</v>
      </c>
      <c r="K86" s="30">
        <f>Jul!C93</f>
        <v>0</v>
      </c>
      <c r="L86" s="30">
        <f>Ago!C93</f>
        <v>0</v>
      </c>
      <c r="M86" s="30">
        <f>Set!C93</f>
        <v>0</v>
      </c>
      <c r="N86" s="30">
        <f>Out!C93</f>
        <v>0</v>
      </c>
      <c r="O86" s="30">
        <f>Nov!C93</f>
        <v>0</v>
      </c>
      <c r="P86" s="30">
        <f>Dez!C93</f>
        <v>0</v>
      </c>
    </row>
    <row r="87" spans="1:16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5" customHeight="1" thickBot="1" x14ac:dyDescent="0.35">
      <c r="A88" s="38"/>
      <c r="B88" s="39" t="s">
        <v>169</v>
      </c>
      <c r="C88" s="39" t="s">
        <v>168</v>
      </c>
      <c r="D88" s="39" t="s">
        <v>146</v>
      </c>
      <c r="E88" s="39" t="s">
        <v>150</v>
      </c>
      <c r="F88" s="39" t="s">
        <v>151</v>
      </c>
      <c r="G88" s="39" t="s">
        <v>152</v>
      </c>
      <c r="H88" s="39" t="s">
        <v>153</v>
      </c>
      <c r="I88" s="39" t="s">
        <v>154</v>
      </c>
      <c r="J88" s="39" t="s">
        <v>155</v>
      </c>
      <c r="K88" s="39" t="s">
        <v>156</v>
      </c>
      <c r="L88" s="39" t="s">
        <v>157</v>
      </c>
      <c r="M88" s="39" t="s">
        <v>158</v>
      </c>
      <c r="N88" s="39" t="s">
        <v>159</v>
      </c>
      <c r="O88" s="39" t="s">
        <v>160</v>
      </c>
      <c r="P88" s="39" t="s">
        <v>161</v>
      </c>
    </row>
    <row r="89" spans="1:16" ht="15" customHeight="1" x14ac:dyDescent="0.3">
      <c r="B89" s="119" t="s">
        <v>36</v>
      </c>
      <c r="C89" s="18" t="str">
        <f>Jan!B103</f>
        <v>Supermercado</v>
      </c>
      <c r="D89" s="42">
        <f t="shared" si="1"/>
        <v>0</v>
      </c>
      <c r="E89" s="31">
        <f>Jan!C103</f>
        <v>0</v>
      </c>
      <c r="F89" s="23">
        <f>Fev!C103</f>
        <v>0</v>
      </c>
      <c r="G89" s="23">
        <f>Mar!C103</f>
        <v>0</v>
      </c>
      <c r="H89" s="23">
        <f>Abr!C103</f>
        <v>0</v>
      </c>
      <c r="I89" s="23">
        <f>Mai!C103</f>
        <v>0</v>
      </c>
      <c r="J89" s="23">
        <f>Jun!C103</f>
        <v>0</v>
      </c>
      <c r="K89" s="23">
        <f>Jul!C103</f>
        <v>0</v>
      </c>
      <c r="L89" s="23">
        <f>Ago!C103</f>
        <v>0</v>
      </c>
      <c r="M89" s="23">
        <f>Set!C103</f>
        <v>0</v>
      </c>
      <c r="N89" s="23">
        <f>Out!C103</f>
        <v>0</v>
      </c>
      <c r="O89" s="23">
        <f>Nov!C103</f>
        <v>0</v>
      </c>
      <c r="P89" s="23">
        <f>Dez!C103</f>
        <v>0</v>
      </c>
    </row>
    <row r="90" spans="1:16" ht="15" customHeight="1" x14ac:dyDescent="0.3">
      <c r="B90" s="120"/>
      <c r="C90" s="18" t="str">
        <f>Jan!B104</f>
        <v>Almoço fora</v>
      </c>
      <c r="D90" s="42">
        <f t="shared" si="1"/>
        <v>0</v>
      </c>
      <c r="E90" s="31">
        <f>Jan!C104</f>
        <v>0</v>
      </c>
      <c r="F90" s="23">
        <f>Fev!C104</f>
        <v>0</v>
      </c>
      <c r="G90" s="23">
        <f>Mar!C104</f>
        <v>0</v>
      </c>
      <c r="H90" s="23">
        <f>Abr!C104</f>
        <v>0</v>
      </c>
      <c r="I90" s="23">
        <f>Mai!C104</f>
        <v>0</v>
      </c>
      <c r="J90" s="23">
        <f>Jun!C104</f>
        <v>0</v>
      </c>
      <c r="K90" s="23">
        <f>Jul!C104</f>
        <v>0</v>
      </c>
      <c r="L90" s="23">
        <f>Ago!C104</f>
        <v>0</v>
      </c>
      <c r="M90" s="23">
        <f>Set!C104</f>
        <v>0</v>
      </c>
      <c r="N90" s="23">
        <f>Out!C104</f>
        <v>0</v>
      </c>
      <c r="O90" s="23">
        <f>Nov!C104</f>
        <v>0</v>
      </c>
      <c r="P90" s="23">
        <f>Dez!C104</f>
        <v>0</v>
      </c>
    </row>
    <row r="91" spans="1:16" ht="15" customHeight="1" x14ac:dyDescent="0.3">
      <c r="B91" s="120"/>
      <c r="C91" s="18" t="str">
        <f>Jan!B105</f>
        <v>Jantar fora</v>
      </c>
      <c r="D91" s="42">
        <f t="shared" si="1"/>
        <v>0</v>
      </c>
      <c r="E91" s="31">
        <f>Jan!C105</f>
        <v>0</v>
      </c>
      <c r="F91" s="23">
        <f>Fev!C105</f>
        <v>0</v>
      </c>
      <c r="G91" s="23">
        <f>Mar!C105</f>
        <v>0</v>
      </c>
      <c r="H91" s="23">
        <f>Abr!C105</f>
        <v>0</v>
      </c>
      <c r="I91" s="23">
        <f>Mai!C105</f>
        <v>0</v>
      </c>
      <c r="J91" s="23">
        <f>Jun!C105</f>
        <v>0</v>
      </c>
      <c r="K91" s="23">
        <f>Jul!C105</f>
        <v>0</v>
      </c>
      <c r="L91" s="23">
        <f>Ago!C105</f>
        <v>0</v>
      </c>
      <c r="M91" s="23">
        <f>Set!C105</f>
        <v>0</v>
      </c>
      <c r="N91" s="23">
        <f>Out!C105</f>
        <v>0</v>
      </c>
      <c r="O91" s="23">
        <f>Nov!C105</f>
        <v>0</v>
      </c>
      <c r="P91" s="23">
        <f>Dez!C105</f>
        <v>0</v>
      </c>
    </row>
    <row r="92" spans="1:16" ht="15" customHeight="1" x14ac:dyDescent="0.3">
      <c r="B92" s="120"/>
      <c r="C92" s="18" t="str">
        <f>Jan!B106</f>
        <v>Padaria/lanche</v>
      </c>
      <c r="D92" s="42">
        <f t="shared" si="1"/>
        <v>0</v>
      </c>
      <c r="E92" s="31">
        <f>Jan!C106</f>
        <v>0</v>
      </c>
      <c r="F92" s="23">
        <f>Fev!C106</f>
        <v>0</v>
      </c>
      <c r="G92" s="23">
        <f>Mar!C106</f>
        <v>0</v>
      </c>
      <c r="H92" s="23">
        <f>Abr!C106</f>
        <v>0</v>
      </c>
      <c r="I92" s="23">
        <f>Mai!C106</f>
        <v>0</v>
      </c>
      <c r="J92" s="23">
        <f>Jun!C106</f>
        <v>0</v>
      </c>
      <c r="K92" s="23">
        <f>Jul!C106</f>
        <v>0</v>
      </c>
      <c r="L92" s="23">
        <f>Ago!C106</f>
        <v>0</v>
      </c>
      <c r="M92" s="23">
        <f>Set!C106</f>
        <v>0</v>
      </c>
      <c r="N92" s="23">
        <f>Out!C106</f>
        <v>0</v>
      </c>
      <c r="O92" s="23">
        <f>Nov!C106</f>
        <v>0</v>
      </c>
      <c r="P92" s="23">
        <f>Dez!C106</f>
        <v>0</v>
      </c>
    </row>
    <row r="93" spans="1:16" ht="15" customHeight="1" x14ac:dyDescent="0.3">
      <c r="B93" s="120"/>
      <c r="C93" s="18" t="str">
        <f>Jan!B107</f>
        <v>Outros</v>
      </c>
      <c r="D93" s="42">
        <f t="shared" si="1"/>
        <v>0</v>
      </c>
      <c r="E93" s="31">
        <f>Jan!C107</f>
        <v>0</v>
      </c>
      <c r="F93" s="23">
        <f>Fev!C107</f>
        <v>0</v>
      </c>
      <c r="G93" s="23">
        <f>Mar!C107</f>
        <v>0</v>
      </c>
      <c r="H93" s="23">
        <f>Abr!C107</f>
        <v>0</v>
      </c>
      <c r="I93" s="23">
        <f>Mai!C107</f>
        <v>0</v>
      </c>
      <c r="J93" s="23">
        <f>Jun!C107</f>
        <v>0</v>
      </c>
      <c r="K93" s="23">
        <f>Jul!C107</f>
        <v>0</v>
      </c>
      <c r="L93" s="23">
        <f>Ago!C107</f>
        <v>0</v>
      </c>
      <c r="M93" s="23">
        <f>Set!C107</f>
        <v>0</v>
      </c>
      <c r="N93" s="23">
        <f>Out!C107</f>
        <v>0</v>
      </c>
      <c r="O93" s="23">
        <f>Nov!C107</f>
        <v>0</v>
      </c>
      <c r="P93" s="23">
        <f>Dez!C107</f>
        <v>0</v>
      </c>
    </row>
    <row r="94" spans="1:16" x14ac:dyDescent="0.3">
      <c r="A94" s="20"/>
      <c r="B94" s="121"/>
      <c r="C94" s="43" t="str">
        <f>Jan!B108</f>
        <v>Subtotal</v>
      </c>
      <c r="D94" s="44">
        <f t="shared" si="1"/>
        <v>0</v>
      </c>
      <c r="E94" s="28">
        <f>Jan!C108</f>
        <v>0</v>
      </c>
      <c r="F94" s="28">
        <f>Fev!C108</f>
        <v>0</v>
      </c>
      <c r="G94" s="28">
        <f>Mar!C108</f>
        <v>0</v>
      </c>
      <c r="H94" s="28">
        <f>Abr!C108</f>
        <v>0</v>
      </c>
      <c r="I94" s="28">
        <f>Mai!C108</f>
        <v>0</v>
      </c>
      <c r="J94" s="28">
        <f>Jun!C108</f>
        <v>0</v>
      </c>
      <c r="K94" s="28">
        <f>Jul!C108</f>
        <v>0</v>
      </c>
      <c r="L94" s="28">
        <f>Ago!C108</f>
        <v>0</v>
      </c>
      <c r="M94" s="28">
        <f>Set!C108</f>
        <v>0</v>
      </c>
      <c r="N94" s="28">
        <f>Out!C108</f>
        <v>0</v>
      </c>
      <c r="O94" s="28">
        <f>Nov!C108</f>
        <v>0</v>
      </c>
      <c r="P94" s="28">
        <f>Dez!C108</f>
        <v>0</v>
      </c>
    </row>
    <row r="95" spans="1:16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ht="15" customHeight="1" thickBot="1" x14ac:dyDescent="0.35">
      <c r="A96" s="38"/>
      <c r="B96" s="39" t="s">
        <v>169</v>
      </c>
      <c r="C96" s="39" t="s">
        <v>168</v>
      </c>
      <c r="D96" s="39" t="s">
        <v>146</v>
      </c>
      <c r="E96" s="39" t="s">
        <v>150</v>
      </c>
      <c r="F96" s="39" t="s">
        <v>151</v>
      </c>
      <c r="G96" s="39" t="s">
        <v>152</v>
      </c>
      <c r="H96" s="39" t="s">
        <v>153</v>
      </c>
      <c r="I96" s="39" t="s">
        <v>154</v>
      </c>
      <c r="J96" s="39" t="s">
        <v>155</v>
      </c>
      <c r="K96" s="39" t="s">
        <v>156</v>
      </c>
      <c r="L96" s="39" t="s">
        <v>157</v>
      </c>
      <c r="M96" s="39" t="s">
        <v>158</v>
      </c>
      <c r="N96" s="39" t="s">
        <v>159</v>
      </c>
      <c r="O96" s="39" t="s">
        <v>160</v>
      </c>
      <c r="P96" s="39" t="s">
        <v>161</v>
      </c>
    </row>
    <row r="97" spans="1:16" ht="15" customHeight="1" x14ac:dyDescent="0.3">
      <c r="B97" s="119" t="s">
        <v>50</v>
      </c>
      <c r="C97" s="18" t="str">
        <f>Jan!E73</f>
        <v>Balada/festa</v>
      </c>
      <c r="D97" s="42">
        <f t="shared" si="1"/>
        <v>0</v>
      </c>
      <c r="E97" s="31">
        <f>Jan!F73</f>
        <v>0</v>
      </c>
      <c r="F97" s="23">
        <f>Fev!F73</f>
        <v>0</v>
      </c>
      <c r="G97" s="23">
        <f>Mar!F73</f>
        <v>0</v>
      </c>
      <c r="H97" s="23">
        <f>Abr!F73</f>
        <v>0</v>
      </c>
      <c r="I97" s="23">
        <f>Mai!F73</f>
        <v>0</v>
      </c>
      <c r="J97" s="23">
        <f>Jun!F73</f>
        <v>0</v>
      </c>
      <c r="K97" s="23">
        <f>Jul!F73</f>
        <v>0</v>
      </c>
      <c r="L97" s="23">
        <f>Ago!F73</f>
        <v>0</v>
      </c>
      <c r="M97" s="23">
        <f>Set!F73</f>
        <v>0</v>
      </c>
      <c r="N97" s="23">
        <f>Out!F73</f>
        <v>0</v>
      </c>
      <c r="O97" s="23">
        <f>Nov!F73</f>
        <v>0</v>
      </c>
      <c r="P97" s="23">
        <f>Dez!F73</f>
        <v>0</v>
      </c>
    </row>
    <row r="98" spans="1:16" ht="15" customHeight="1" x14ac:dyDescent="0.3">
      <c r="B98" s="120"/>
      <c r="C98" s="18" t="str">
        <f>Jan!E74</f>
        <v>Plataformas de música</v>
      </c>
      <c r="D98" s="42">
        <f t="shared" si="1"/>
        <v>0</v>
      </c>
      <c r="E98" s="31">
        <f>Jan!F74</f>
        <v>0</v>
      </c>
      <c r="F98" s="23">
        <f>Fev!F74</f>
        <v>0</v>
      </c>
      <c r="G98" s="23">
        <f>Mar!F74</f>
        <v>0</v>
      </c>
      <c r="H98" s="23">
        <f>Abr!F74</f>
        <v>0</v>
      </c>
      <c r="I98" s="23">
        <f>Mai!F74</f>
        <v>0</v>
      </c>
      <c r="J98" s="23">
        <f>Jun!F74</f>
        <v>0</v>
      </c>
      <c r="K98" s="23">
        <f>Jul!F74</f>
        <v>0</v>
      </c>
      <c r="L98" s="23">
        <f>Ago!F74</f>
        <v>0</v>
      </c>
      <c r="M98" s="23">
        <f>Set!F74</f>
        <v>0</v>
      </c>
      <c r="N98" s="23">
        <f>Out!F74</f>
        <v>0</v>
      </c>
      <c r="O98" s="23">
        <f>Nov!F74</f>
        <v>0</v>
      </c>
      <c r="P98" s="23">
        <f>Dez!F74</f>
        <v>0</v>
      </c>
    </row>
    <row r="99" spans="1:16" ht="15" customHeight="1" x14ac:dyDescent="0.3">
      <c r="B99" s="120"/>
      <c r="C99" s="18" t="str">
        <f>Jan!E75</f>
        <v>Filmes</v>
      </c>
      <c r="D99" s="42">
        <f t="shared" si="1"/>
        <v>0</v>
      </c>
      <c r="E99" s="31">
        <f>Jan!F75</f>
        <v>0</v>
      </c>
      <c r="F99" s="23">
        <f>Fev!F75</f>
        <v>0</v>
      </c>
      <c r="G99" s="23">
        <f>Mar!F75</f>
        <v>0</v>
      </c>
      <c r="H99" s="23">
        <f>Abr!F75</f>
        <v>0</v>
      </c>
      <c r="I99" s="23">
        <f>Mai!F75</f>
        <v>0</v>
      </c>
      <c r="J99" s="23">
        <f>Jun!F75</f>
        <v>0</v>
      </c>
      <c r="K99" s="23">
        <f>Jul!F75</f>
        <v>0</v>
      </c>
      <c r="L99" s="23">
        <f>Ago!F75</f>
        <v>0</v>
      </c>
      <c r="M99" s="23">
        <f>Set!F75</f>
        <v>0</v>
      </c>
      <c r="N99" s="23">
        <f>Out!F75</f>
        <v>0</v>
      </c>
      <c r="O99" s="23">
        <f>Nov!F75</f>
        <v>0</v>
      </c>
      <c r="P99" s="23">
        <f>Dez!F75</f>
        <v>0</v>
      </c>
    </row>
    <row r="100" spans="1:16" ht="15" customHeight="1" x14ac:dyDescent="0.3">
      <c r="B100" s="120"/>
      <c r="C100" s="18" t="str">
        <f>Jan!E76</f>
        <v>Shows</v>
      </c>
      <c r="D100" s="42">
        <f t="shared" si="1"/>
        <v>0</v>
      </c>
      <c r="E100" s="31">
        <f>Jan!F76</f>
        <v>0</v>
      </c>
      <c r="F100" s="23">
        <f>Fev!F76</f>
        <v>0</v>
      </c>
      <c r="G100" s="23">
        <f>Mar!F76</f>
        <v>0</v>
      </c>
      <c r="H100" s="23">
        <f>Abr!F76</f>
        <v>0</v>
      </c>
      <c r="I100" s="23">
        <f>Mai!F76</f>
        <v>0</v>
      </c>
      <c r="J100" s="23">
        <f>Jun!F76</f>
        <v>0</v>
      </c>
      <c r="K100" s="23">
        <f>Jul!F76</f>
        <v>0</v>
      </c>
      <c r="L100" s="23">
        <f>Ago!F76</f>
        <v>0</v>
      </c>
      <c r="M100" s="23">
        <f>Set!F76</f>
        <v>0</v>
      </c>
      <c r="N100" s="23">
        <f>Out!F76</f>
        <v>0</v>
      </c>
      <c r="O100" s="23">
        <f>Nov!F76</f>
        <v>0</v>
      </c>
      <c r="P100" s="23">
        <f>Dez!F76</f>
        <v>0</v>
      </c>
    </row>
    <row r="101" spans="1:16" ht="15" customHeight="1" x14ac:dyDescent="0.3">
      <c r="B101" s="120"/>
      <c r="C101" s="18" t="str">
        <f>Jan!E77</f>
        <v>Eventos esportivos</v>
      </c>
      <c r="D101" s="42">
        <f t="shared" si="1"/>
        <v>0</v>
      </c>
      <c r="E101" s="31">
        <f>Jan!F77</f>
        <v>0</v>
      </c>
      <c r="F101" s="23">
        <f>Fev!F77</f>
        <v>0</v>
      </c>
      <c r="G101" s="23">
        <f>Mar!F77</f>
        <v>0</v>
      </c>
      <c r="H101" s="23">
        <f>Abr!F77</f>
        <v>0</v>
      </c>
      <c r="I101" s="23">
        <f>Mai!F77</f>
        <v>0</v>
      </c>
      <c r="J101" s="23">
        <f>Jun!F77</f>
        <v>0</v>
      </c>
      <c r="K101" s="23">
        <f>Jul!F77</f>
        <v>0</v>
      </c>
      <c r="L101" s="23">
        <f>Ago!F77</f>
        <v>0</v>
      </c>
      <c r="M101" s="23">
        <f>Set!F77</f>
        <v>0</v>
      </c>
      <c r="N101" s="23">
        <f>Out!F77</f>
        <v>0</v>
      </c>
      <c r="O101" s="23">
        <f>Nov!F77</f>
        <v>0</v>
      </c>
      <c r="P101" s="23">
        <f>Dez!F77</f>
        <v>0</v>
      </c>
    </row>
    <row r="102" spans="1:16" ht="15" customHeight="1" x14ac:dyDescent="0.3">
      <c r="B102" s="120"/>
      <c r="C102" s="18" t="str">
        <f>Jan!E78</f>
        <v>Teatro ao vivo</v>
      </c>
      <c r="D102" s="42">
        <f t="shared" si="1"/>
        <v>0</v>
      </c>
      <c r="E102" s="31">
        <f>Jan!F78</f>
        <v>0</v>
      </c>
      <c r="F102" s="23">
        <f>Fev!F78</f>
        <v>0</v>
      </c>
      <c r="G102" s="23">
        <f>Mar!F78</f>
        <v>0</v>
      </c>
      <c r="H102" s="23">
        <f>Abr!F78</f>
        <v>0</v>
      </c>
      <c r="I102" s="23">
        <f>Mai!F78</f>
        <v>0</v>
      </c>
      <c r="J102" s="23">
        <f>Jun!F78</f>
        <v>0</v>
      </c>
      <c r="K102" s="23">
        <f>Jul!F78</f>
        <v>0</v>
      </c>
      <c r="L102" s="23">
        <f>Ago!F78</f>
        <v>0</v>
      </c>
      <c r="M102" s="23">
        <f>Set!F78</f>
        <v>0</v>
      </c>
      <c r="N102" s="23">
        <f>Out!F78</f>
        <v>0</v>
      </c>
      <c r="O102" s="23">
        <f>Nov!F78</f>
        <v>0</v>
      </c>
      <c r="P102" s="23">
        <f>Dez!F78</f>
        <v>0</v>
      </c>
    </row>
    <row r="103" spans="1:16" ht="16.5" customHeight="1" x14ac:dyDescent="0.3">
      <c r="B103" s="120"/>
      <c r="C103" s="18" t="str">
        <f>Jan!E79</f>
        <v>Outros</v>
      </c>
      <c r="D103" s="42">
        <f t="shared" si="1"/>
        <v>0</v>
      </c>
      <c r="E103" s="31">
        <f>Jan!F79</f>
        <v>0</v>
      </c>
      <c r="F103" s="23">
        <f>Fev!F79</f>
        <v>0</v>
      </c>
      <c r="G103" s="23">
        <f>Mar!F79</f>
        <v>0</v>
      </c>
      <c r="H103" s="23">
        <f>Abr!F79</f>
        <v>0</v>
      </c>
      <c r="I103" s="23">
        <f>Mai!F79</f>
        <v>0</v>
      </c>
      <c r="J103" s="23">
        <f>Jun!F79</f>
        <v>0</v>
      </c>
      <c r="K103" s="23">
        <f>Jul!F79</f>
        <v>0</v>
      </c>
      <c r="L103" s="23">
        <f>Ago!F79</f>
        <v>0</v>
      </c>
      <c r="M103" s="23">
        <f>Set!F79</f>
        <v>0</v>
      </c>
      <c r="N103" s="23">
        <f>Out!F79</f>
        <v>0</v>
      </c>
      <c r="O103" s="23">
        <f>Nov!F79</f>
        <v>0</v>
      </c>
      <c r="P103" s="23">
        <f>Dez!F79</f>
        <v>0</v>
      </c>
    </row>
    <row r="104" spans="1:16" ht="15" customHeight="1" x14ac:dyDescent="0.3">
      <c r="B104" s="120"/>
      <c r="C104" s="18" t="str">
        <f>Jan!E80</f>
        <v>Outros</v>
      </c>
      <c r="D104" s="42">
        <f t="shared" si="1"/>
        <v>0</v>
      </c>
      <c r="E104" s="31">
        <f>Jan!F80</f>
        <v>0</v>
      </c>
      <c r="F104" s="23">
        <f>Fev!F80</f>
        <v>0</v>
      </c>
      <c r="G104" s="23">
        <f>Mar!F80</f>
        <v>0</v>
      </c>
      <c r="H104" s="23">
        <f>Abr!F80</f>
        <v>0</v>
      </c>
      <c r="I104" s="23">
        <f>Mai!F80</f>
        <v>0</v>
      </c>
      <c r="J104" s="23">
        <f>Jun!F80</f>
        <v>0</v>
      </c>
      <c r="K104" s="23">
        <f>Jul!F80</f>
        <v>0</v>
      </c>
      <c r="L104" s="23">
        <f>Ago!F80</f>
        <v>0</v>
      </c>
      <c r="M104" s="23">
        <f>Set!F80</f>
        <v>0</v>
      </c>
      <c r="N104" s="23">
        <f>Out!F80</f>
        <v>0</v>
      </c>
      <c r="O104" s="23">
        <f>Nov!F80</f>
        <v>0</v>
      </c>
      <c r="P104" s="23">
        <f>Dez!F80</f>
        <v>0</v>
      </c>
    </row>
    <row r="105" spans="1:16" ht="15" customHeight="1" x14ac:dyDescent="0.3">
      <c r="B105" s="120"/>
      <c r="C105" s="18" t="str">
        <f>Jan!E81</f>
        <v>Outros</v>
      </c>
      <c r="D105" s="42">
        <f t="shared" si="1"/>
        <v>0</v>
      </c>
      <c r="E105" s="31">
        <f>Jan!F81</f>
        <v>0</v>
      </c>
      <c r="F105" s="23">
        <f>Fev!F81</f>
        <v>0</v>
      </c>
      <c r="G105" s="23">
        <f>Mar!F81</f>
        <v>0</v>
      </c>
      <c r="H105" s="23">
        <f>Abr!F81</f>
        <v>0</v>
      </c>
      <c r="I105" s="23">
        <f>Mai!F81</f>
        <v>0</v>
      </c>
      <c r="J105" s="23">
        <f>Jun!F81</f>
        <v>0</v>
      </c>
      <c r="K105" s="23">
        <f>Jul!F81</f>
        <v>0</v>
      </c>
      <c r="L105" s="23">
        <f>Ago!F81</f>
        <v>0</v>
      </c>
      <c r="M105" s="23">
        <f>Set!F81</f>
        <v>0</v>
      </c>
      <c r="N105" s="23">
        <f>Out!F81</f>
        <v>0</v>
      </c>
      <c r="O105" s="23">
        <f>Nov!F81</f>
        <v>0</v>
      </c>
      <c r="P105" s="23">
        <f>Dez!F81</f>
        <v>0</v>
      </c>
    </row>
    <row r="106" spans="1:16" ht="15" customHeight="1" x14ac:dyDescent="0.3">
      <c r="B106" s="120"/>
      <c r="C106" s="18" t="str">
        <f>Jan!E82</f>
        <v>Outros</v>
      </c>
      <c r="D106" s="42">
        <f t="shared" si="1"/>
        <v>0</v>
      </c>
      <c r="E106" s="31">
        <f>Jan!F82</f>
        <v>0</v>
      </c>
      <c r="F106" s="23">
        <f>Fev!F82</f>
        <v>0</v>
      </c>
      <c r="G106" s="23">
        <f>Mar!F82</f>
        <v>0</v>
      </c>
      <c r="H106" s="23">
        <f>Abr!F82</f>
        <v>0</v>
      </c>
      <c r="I106" s="23">
        <f>Mai!F82</f>
        <v>0</v>
      </c>
      <c r="J106" s="23">
        <f>Jun!F82</f>
        <v>0</v>
      </c>
      <c r="K106" s="23">
        <f>Jul!F82</f>
        <v>0</v>
      </c>
      <c r="L106" s="23">
        <f>Ago!F82</f>
        <v>0</v>
      </c>
      <c r="M106" s="23">
        <f>Set!F82</f>
        <v>0</v>
      </c>
      <c r="N106" s="23">
        <f>Out!F82</f>
        <v>0</v>
      </c>
      <c r="O106" s="23">
        <f>Nov!F82</f>
        <v>0</v>
      </c>
      <c r="P106" s="23">
        <f>Dez!F82</f>
        <v>0</v>
      </c>
    </row>
    <row r="107" spans="1:16" x14ac:dyDescent="0.3">
      <c r="A107" s="20"/>
      <c r="B107" s="121"/>
      <c r="C107" s="43" t="str">
        <f>Jan!E83</f>
        <v>Subtotal</v>
      </c>
      <c r="D107" s="44">
        <f t="shared" si="1"/>
        <v>0</v>
      </c>
      <c r="E107" s="28">
        <f>Jan!F83</f>
        <v>0</v>
      </c>
      <c r="F107" s="28">
        <f>Fev!F83</f>
        <v>0</v>
      </c>
      <c r="G107" s="28">
        <f>Mar!F83</f>
        <v>0</v>
      </c>
      <c r="H107" s="28">
        <f>Abr!F83</f>
        <v>0</v>
      </c>
      <c r="I107" s="28">
        <f>Mai!F83</f>
        <v>0</v>
      </c>
      <c r="J107" s="28">
        <f>Jun!F83</f>
        <v>0</v>
      </c>
      <c r="K107" s="28">
        <f>Jul!F83</f>
        <v>0</v>
      </c>
      <c r="L107" s="28">
        <f>Ago!F83</f>
        <v>0</v>
      </c>
      <c r="M107" s="28">
        <f>Set!F83</f>
        <v>0</v>
      </c>
      <c r="N107" s="28">
        <f>Out!F83</f>
        <v>0</v>
      </c>
      <c r="O107" s="28">
        <f>Nov!F83</f>
        <v>0</v>
      </c>
      <c r="P107" s="28">
        <f>Dez!F83</f>
        <v>0</v>
      </c>
    </row>
    <row r="108" spans="1:16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ht="15" customHeight="1" thickBot="1" x14ac:dyDescent="0.35">
      <c r="A109" s="38"/>
      <c r="B109" s="39" t="s">
        <v>169</v>
      </c>
      <c r="C109" s="39" t="s">
        <v>168</v>
      </c>
      <c r="D109" s="39" t="s">
        <v>146</v>
      </c>
      <c r="E109" s="39" t="s">
        <v>150</v>
      </c>
      <c r="F109" s="39" t="s">
        <v>151</v>
      </c>
      <c r="G109" s="39" t="s">
        <v>152</v>
      </c>
      <c r="H109" s="39" t="s">
        <v>153</v>
      </c>
      <c r="I109" s="39" t="s">
        <v>154</v>
      </c>
      <c r="J109" s="39" t="s">
        <v>155</v>
      </c>
      <c r="K109" s="39" t="s">
        <v>156</v>
      </c>
      <c r="L109" s="39" t="s">
        <v>157</v>
      </c>
      <c r="M109" s="39" t="s">
        <v>158</v>
      </c>
      <c r="N109" s="39" t="s">
        <v>159</v>
      </c>
      <c r="O109" s="39" t="s">
        <v>160</v>
      </c>
      <c r="P109" s="39" t="s">
        <v>161</v>
      </c>
    </row>
    <row r="110" spans="1:16" ht="15" customHeight="1" x14ac:dyDescent="0.3">
      <c r="B110" s="119" t="s">
        <v>44</v>
      </c>
      <c r="C110" s="18" t="str">
        <f>Jan!E86</f>
        <v>Médico</v>
      </c>
      <c r="D110" s="42">
        <f t="shared" si="1"/>
        <v>0</v>
      </c>
      <c r="E110" s="31">
        <f>Jan!F86</f>
        <v>0</v>
      </c>
      <c r="F110" s="23">
        <f>Fev!F86</f>
        <v>0</v>
      </c>
      <c r="G110" s="23">
        <f>Mar!F86</f>
        <v>0</v>
      </c>
      <c r="H110" s="23">
        <f>Abr!F86</f>
        <v>0</v>
      </c>
      <c r="I110" s="23">
        <f>Mai!F86</f>
        <v>0</v>
      </c>
      <c r="J110" s="23">
        <f>Jun!F86</f>
        <v>0</v>
      </c>
      <c r="K110" s="23">
        <f>Jul!F86</f>
        <v>0</v>
      </c>
      <c r="L110" s="23">
        <f>Ago!F86</f>
        <v>0</v>
      </c>
      <c r="M110" s="23">
        <f>Set!F86</f>
        <v>0</v>
      </c>
      <c r="N110" s="23">
        <f>Out!F86</f>
        <v>0</v>
      </c>
      <c r="O110" s="23">
        <f>Nov!F86</f>
        <v>0</v>
      </c>
      <c r="P110" s="23">
        <f>Dez!F86</f>
        <v>0</v>
      </c>
    </row>
    <row r="111" spans="1:16" ht="15" customHeight="1" x14ac:dyDescent="0.3">
      <c r="B111" s="120"/>
      <c r="C111" s="18" t="str">
        <f>Jan!E87</f>
        <v>Cabelo/unhas</v>
      </c>
      <c r="D111" s="42">
        <f t="shared" si="1"/>
        <v>0</v>
      </c>
      <c r="E111" s="31">
        <f>Jan!F87</f>
        <v>0</v>
      </c>
      <c r="F111" s="23">
        <f>Fev!F87</f>
        <v>0</v>
      </c>
      <c r="G111" s="23">
        <f>Mar!F87</f>
        <v>0</v>
      </c>
      <c r="H111" s="23">
        <f>Abr!F87</f>
        <v>0</v>
      </c>
      <c r="I111" s="23">
        <f>Mai!F87</f>
        <v>0</v>
      </c>
      <c r="J111" s="23">
        <f>Jun!F87</f>
        <v>0</v>
      </c>
      <c r="K111" s="23">
        <f>Jul!F87</f>
        <v>0</v>
      </c>
      <c r="L111" s="23">
        <f>Ago!F87</f>
        <v>0</v>
      </c>
      <c r="M111" s="23">
        <f>Set!F87</f>
        <v>0</v>
      </c>
      <c r="N111" s="23">
        <f>Out!F87</f>
        <v>0</v>
      </c>
      <c r="O111" s="23">
        <f>Nov!F87</f>
        <v>0</v>
      </c>
      <c r="P111" s="23">
        <f>Dez!F87</f>
        <v>0</v>
      </c>
    </row>
    <row r="112" spans="1:16" x14ac:dyDescent="0.3">
      <c r="B112" s="120"/>
      <c r="C112" s="18" t="str">
        <f>Jan!E88</f>
        <v>Vestuário</v>
      </c>
      <c r="D112" s="42">
        <f t="shared" si="1"/>
        <v>0</v>
      </c>
      <c r="E112" s="31">
        <f>Jan!F88</f>
        <v>0</v>
      </c>
      <c r="F112" s="23">
        <f>Fev!F88</f>
        <v>0</v>
      </c>
      <c r="G112" s="23">
        <f>Mar!F88</f>
        <v>0</v>
      </c>
      <c r="H112" s="23">
        <f>Abr!F88</f>
        <v>0</v>
      </c>
      <c r="I112" s="23">
        <f>Mai!F88</f>
        <v>0</v>
      </c>
      <c r="J112" s="23">
        <f>Jun!F88</f>
        <v>0</v>
      </c>
      <c r="K112" s="23">
        <f>Jul!F88</f>
        <v>0</v>
      </c>
      <c r="L112" s="23">
        <f>Ago!F88</f>
        <v>0</v>
      </c>
      <c r="M112" s="23">
        <f>Set!F88</f>
        <v>0</v>
      </c>
      <c r="N112" s="23">
        <f>Out!F88</f>
        <v>0</v>
      </c>
      <c r="O112" s="23">
        <f>Nov!F88</f>
        <v>0</v>
      </c>
      <c r="P112" s="23">
        <f>Dez!F88</f>
        <v>0</v>
      </c>
    </row>
    <row r="113" spans="1:16" x14ac:dyDescent="0.3">
      <c r="B113" s="120"/>
      <c r="C113" s="18" t="str">
        <f>Jan!E89</f>
        <v>Cosméticos</v>
      </c>
      <c r="D113" s="42">
        <f t="shared" si="1"/>
        <v>0</v>
      </c>
      <c r="E113" s="31">
        <f>Jan!F89</f>
        <v>0</v>
      </c>
      <c r="F113" s="23">
        <f>Fev!F89</f>
        <v>0</v>
      </c>
      <c r="G113" s="23">
        <f>Mar!F89</f>
        <v>0</v>
      </c>
      <c r="H113" s="23">
        <f>Abr!F89</f>
        <v>0</v>
      </c>
      <c r="I113" s="23">
        <f>Mai!F89</f>
        <v>0</v>
      </c>
      <c r="J113" s="23">
        <f>Jun!F89</f>
        <v>0</v>
      </c>
      <c r="K113" s="23">
        <f>Jul!F89</f>
        <v>0</v>
      </c>
      <c r="L113" s="23">
        <f>Ago!F89</f>
        <v>0</v>
      </c>
      <c r="M113" s="23">
        <f>Set!F89</f>
        <v>0</v>
      </c>
      <c r="N113" s="23">
        <f>Out!F89</f>
        <v>0</v>
      </c>
      <c r="O113" s="23">
        <f>Nov!F89</f>
        <v>0</v>
      </c>
      <c r="P113" s="23">
        <f>Dez!F89</f>
        <v>0</v>
      </c>
    </row>
    <row r="114" spans="1:16" x14ac:dyDescent="0.3">
      <c r="B114" s="120"/>
      <c r="C114" s="18" t="str">
        <f>Jan!E90</f>
        <v>Academia</v>
      </c>
      <c r="D114" s="42">
        <f t="shared" si="1"/>
        <v>0</v>
      </c>
      <c r="E114" s="31">
        <f>Jan!F90</f>
        <v>0</v>
      </c>
      <c r="F114" s="23">
        <f>Fev!F90</f>
        <v>0</v>
      </c>
      <c r="G114" s="23">
        <f>Mar!F90</f>
        <v>0</v>
      </c>
      <c r="H114" s="23">
        <f>Abr!F90</f>
        <v>0</v>
      </c>
      <c r="I114" s="23">
        <f>Mai!F90</f>
        <v>0</v>
      </c>
      <c r="J114" s="23">
        <f>Jun!F90</f>
        <v>0</v>
      </c>
      <c r="K114" s="23">
        <f>Jul!F90</f>
        <v>0</v>
      </c>
      <c r="L114" s="23">
        <f>Ago!F90</f>
        <v>0</v>
      </c>
      <c r="M114" s="23">
        <f>Set!F90</f>
        <v>0</v>
      </c>
      <c r="N114" s="23">
        <f>Out!F90</f>
        <v>0</v>
      </c>
      <c r="O114" s="23">
        <f>Nov!F90</f>
        <v>0</v>
      </c>
      <c r="P114" s="23">
        <f>Dez!F90</f>
        <v>0</v>
      </c>
    </row>
    <row r="115" spans="1:16" x14ac:dyDescent="0.3">
      <c r="B115" s="120"/>
      <c r="C115" s="18" t="str">
        <f>Jan!E91</f>
        <v>Compras extra</v>
      </c>
      <c r="D115" s="42">
        <f t="shared" si="1"/>
        <v>0</v>
      </c>
      <c r="E115" s="31">
        <f>Jan!F91</f>
        <v>0</v>
      </c>
      <c r="F115" s="23">
        <f>Fev!F91</f>
        <v>0</v>
      </c>
      <c r="G115" s="23">
        <f>Mar!F91</f>
        <v>0</v>
      </c>
      <c r="H115" s="23">
        <f>Abr!F91</f>
        <v>0</v>
      </c>
      <c r="I115" s="23">
        <f>Mai!F91</f>
        <v>0</v>
      </c>
      <c r="J115" s="23">
        <f>Jun!F91</f>
        <v>0</v>
      </c>
      <c r="K115" s="23">
        <f>Jul!F91</f>
        <v>0</v>
      </c>
      <c r="L115" s="23">
        <f>Ago!F91</f>
        <v>0</v>
      </c>
      <c r="M115" s="23">
        <f>Set!F91</f>
        <v>0</v>
      </c>
      <c r="N115" s="23">
        <f>Out!F91</f>
        <v>0</v>
      </c>
      <c r="O115" s="23">
        <f>Nov!F91</f>
        <v>0</v>
      </c>
      <c r="P115" s="23">
        <f>Dez!F91</f>
        <v>0</v>
      </c>
    </row>
    <row r="116" spans="1:16" x14ac:dyDescent="0.3">
      <c r="B116" s="120"/>
      <c r="C116" s="18" t="str">
        <f>Jan!E92</f>
        <v>Outros</v>
      </c>
      <c r="D116" s="42">
        <f t="shared" si="1"/>
        <v>0</v>
      </c>
      <c r="E116" s="31">
        <f>Jan!F92</f>
        <v>0</v>
      </c>
      <c r="F116" s="23">
        <f>Fev!F92</f>
        <v>0</v>
      </c>
      <c r="G116" s="23">
        <f>Mar!F92</f>
        <v>0</v>
      </c>
      <c r="H116" s="23">
        <f>Abr!F92</f>
        <v>0</v>
      </c>
      <c r="I116" s="23">
        <f>Mai!F92</f>
        <v>0</v>
      </c>
      <c r="J116" s="23">
        <f>Jun!F92</f>
        <v>0</v>
      </c>
      <c r="K116" s="23">
        <f>Jul!F92</f>
        <v>0</v>
      </c>
      <c r="L116" s="23">
        <f>Ago!F92</f>
        <v>0</v>
      </c>
      <c r="M116" s="23">
        <f>Set!F92</f>
        <v>0</v>
      </c>
      <c r="N116" s="23">
        <f>Out!F92</f>
        <v>0</v>
      </c>
      <c r="O116" s="23">
        <f>Nov!F92</f>
        <v>0</v>
      </c>
      <c r="P116" s="23">
        <f>Dez!F92</f>
        <v>0</v>
      </c>
    </row>
    <row r="117" spans="1:16" x14ac:dyDescent="0.3">
      <c r="B117" s="120"/>
      <c r="C117" s="18" t="str">
        <f>Jan!E93</f>
        <v>Outros</v>
      </c>
      <c r="D117" s="42">
        <f t="shared" si="1"/>
        <v>0</v>
      </c>
      <c r="E117" s="31">
        <f>Jan!F93</f>
        <v>0</v>
      </c>
      <c r="F117" s="23">
        <f>Fev!F93</f>
        <v>0</v>
      </c>
      <c r="G117" s="23">
        <f>Mar!F93</f>
        <v>0</v>
      </c>
      <c r="H117" s="23">
        <f>Abr!F93</f>
        <v>0</v>
      </c>
      <c r="I117" s="23">
        <f>Mai!F93</f>
        <v>0</v>
      </c>
      <c r="J117" s="23">
        <f>Jun!F93</f>
        <v>0</v>
      </c>
      <c r="K117" s="23">
        <f>Jul!F93</f>
        <v>0</v>
      </c>
      <c r="L117" s="23">
        <f>Ago!F93</f>
        <v>0</v>
      </c>
      <c r="M117" s="23">
        <f>Set!F93</f>
        <v>0</v>
      </c>
      <c r="N117" s="23">
        <f>Out!F93</f>
        <v>0</v>
      </c>
      <c r="O117" s="23">
        <f>Nov!F93</f>
        <v>0</v>
      </c>
      <c r="P117" s="23">
        <f>Dez!F93</f>
        <v>0</v>
      </c>
    </row>
    <row r="118" spans="1:16" x14ac:dyDescent="0.3">
      <c r="B118" s="120"/>
      <c r="C118" s="18" t="str">
        <f>Jan!E94</f>
        <v>Outros</v>
      </c>
      <c r="D118" s="42">
        <f t="shared" si="1"/>
        <v>0</v>
      </c>
      <c r="E118" s="31">
        <f>Jan!F94</f>
        <v>0</v>
      </c>
      <c r="F118" s="23">
        <f>Fev!F94</f>
        <v>0</v>
      </c>
      <c r="G118" s="23">
        <f>Mar!F94</f>
        <v>0</v>
      </c>
      <c r="H118" s="23">
        <f>Abr!F94</f>
        <v>0</v>
      </c>
      <c r="I118" s="23">
        <f>Mai!F94</f>
        <v>0</v>
      </c>
      <c r="J118" s="23">
        <f>Jun!F94</f>
        <v>0</v>
      </c>
      <c r="K118" s="23">
        <f>Jul!F94</f>
        <v>0</v>
      </c>
      <c r="L118" s="23">
        <f>Ago!F94</f>
        <v>0</v>
      </c>
      <c r="M118" s="23">
        <f>Set!F94</f>
        <v>0</v>
      </c>
      <c r="N118" s="23">
        <f>Out!F94</f>
        <v>0</v>
      </c>
      <c r="O118" s="23">
        <f>Nov!F94</f>
        <v>0</v>
      </c>
      <c r="P118" s="23">
        <f>Dez!F94</f>
        <v>0</v>
      </c>
    </row>
    <row r="119" spans="1:16" x14ac:dyDescent="0.3">
      <c r="B119" s="120"/>
      <c r="C119" s="18" t="str">
        <f>Jan!E95</f>
        <v>Outros</v>
      </c>
      <c r="D119" s="42">
        <f t="shared" si="1"/>
        <v>0</v>
      </c>
      <c r="E119" s="31">
        <f>Jan!F95</f>
        <v>0</v>
      </c>
      <c r="F119" s="23">
        <f>Fev!F95</f>
        <v>0</v>
      </c>
      <c r="G119" s="23">
        <f>Mar!F95</f>
        <v>0</v>
      </c>
      <c r="H119" s="23">
        <f>Abr!F95</f>
        <v>0</v>
      </c>
      <c r="I119" s="23">
        <f>Mai!F95</f>
        <v>0</v>
      </c>
      <c r="J119" s="23">
        <f>Jun!F95</f>
        <v>0</v>
      </c>
      <c r="K119" s="23">
        <f>Jul!F95</f>
        <v>0</v>
      </c>
      <c r="L119" s="23">
        <f>Ago!F95</f>
        <v>0</v>
      </c>
      <c r="M119" s="23">
        <f>Set!F95</f>
        <v>0</v>
      </c>
      <c r="N119" s="23">
        <f>Out!F95</f>
        <v>0</v>
      </c>
      <c r="O119" s="23">
        <f>Nov!F95</f>
        <v>0</v>
      </c>
      <c r="P119" s="23">
        <f>Dez!F95</f>
        <v>0</v>
      </c>
    </row>
    <row r="120" spans="1:16" x14ac:dyDescent="0.3">
      <c r="B120" s="120"/>
      <c r="C120" s="18" t="str">
        <f>Jan!E96</f>
        <v>Outros</v>
      </c>
      <c r="D120" s="42">
        <f t="shared" si="1"/>
        <v>0</v>
      </c>
      <c r="E120" s="31">
        <f>Jan!F96</f>
        <v>0</v>
      </c>
      <c r="F120" s="23">
        <f>Fev!F96</f>
        <v>0</v>
      </c>
      <c r="G120" s="23">
        <f>Mar!F96</f>
        <v>0</v>
      </c>
      <c r="H120" s="23">
        <f>Abr!F96</f>
        <v>0</v>
      </c>
      <c r="I120" s="23">
        <f>Mai!F96</f>
        <v>0</v>
      </c>
      <c r="J120" s="23">
        <f>Jun!F96</f>
        <v>0</v>
      </c>
      <c r="K120" s="23">
        <f>Jul!F96</f>
        <v>0</v>
      </c>
      <c r="L120" s="23">
        <f>Ago!F96</f>
        <v>0</v>
      </c>
      <c r="M120" s="23">
        <f>Set!F96</f>
        <v>0</v>
      </c>
      <c r="N120" s="23">
        <f>Out!F96</f>
        <v>0</v>
      </c>
      <c r="O120" s="23">
        <f>Nov!F96</f>
        <v>0</v>
      </c>
      <c r="P120" s="23">
        <f>Dez!F96</f>
        <v>0</v>
      </c>
    </row>
    <row r="121" spans="1:16" x14ac:dyDescent="0.3">
      <c r="B121" s="120"/>
      <c r="C121" s="18" t="str">
        <f>Jan!E97</f>
        <v>Outros</v>
      </c>
      <c r="D121" s="42">
        <f t="shared" si="1"/>
        <v>0</v>
      </c>
      <c r="E121" s="31">
        <f>Jan!F97</f>
        <v>0</v>
      </c>
      <c r="F121" s="23">
        <f>Fev!F97</f>
        <v>0</v>
      </c>
      <c r="G121" s="23">
        <f>Mar!F97</f>
        <v>0</v>
      </c>
      <c r="H121" s="23">
        <f>Abr!F97</f>
        <v>0</v>
      </c>
      <c r="I121" s="23">
        <f>Mai!F97</f>
        <v>0</v>
      </c>
      <c r="J121" s="23">
        <f>Jun!F97</f>
        <v>0</v>
      </c>
      <c r="K121" s="23">
        <f>Jul!F97</f>
        <v>0</v>
      </c>
      <c r="L121" s="23">
        <f>Ago!F97</f>
        <v>0</v>
      </c>
      <c r="M121" s="23">
        <f>Set!F97</f>
        <v>0</v>
      </c>
      <c r="N121" s="23">
        <f>Out!F97</f>
        <v>0</v>
      </c>
      <c r="O121" s="23">
        <f>Nov!F97</f>
        <v>0</v>
      </c>
      <c r="P121" s="23">
        <f>Dez!F97</f>
        <v>0</v>
      </c>
    </row>
    <row r="122" spans="1:16" x14ac:dyDescent="0.3">
      <c r="B122" s="120"/>
      <c r="C122" s="18" t="str">
        <f>Jan!E98</f>
        <v>Outros</v>
      </c>
      <c r="D122" s="42">
        <f t="shared" si="1"/>
        <v>0</v>
      </c>
      <c r="E122" s="31">
        <f>Jan!F98</f>
        <v>0</v>
      </c>
      <c r="F122" s="23">
        <f>Fev!F98</f>
        <v>0</v>
      </c>
      <c r="G122" s="23">
        <f>Mar!F98</f>
        <v>0</v>
      </c>
      <c r="H122" s="23">
        <f>Abr!F98</f>
        <v>0</v>
      </c>
      <c r="I122" s="23">
        <f>Mai!F98</f>
        <v>0</v>
      </c>
      <c r="J122" s="23">
        <f>Jun!F98</f>
        <v>0</v>
      </c>
      <c r="K122" s="23">
        <f>Jul!F98</f>
        <v>0</v>
      </c>
      <c r="L122" s="23">
        <f>Ago!F98</f>
        <v>0</v>
      </c>
      <c r="M122" s="23">
        <f>Set!F98</f>
        <v>0</v>
      </c>
      <c r="N122" s="23">
        <f>Out!F98</f>
        <v>0</v>
      </c>
      <c r="O122" s="23">
        <f>Nov!F98</f>
        <v>0</v>
      </c>
      <c r="P122" s="23">
        <f>Dez!F98</f>
        <v>0</v>
      </c>
    </row>
    <row r="123" spans="1:16" x14ac:dyDescent="0.3">
      <c r="B123" s="120"/>
      <c r="C123" s="18" t="str">
        <f>Jan!E99</f>
        <v>Outros</v>
      </c>
      <c r="D123" s="42">
        <f t="shared" si="1"/>
        <v>0</v>
      </c>
      <c r="E123" s="31">
        <f>Jan!F99</f>
        <v>0</v>
      </c>
      <c r="F123" s="23">
        <f>Fev!F99</f>
        <v>0</v>
      </c>
      <c r="G123" s="23">
        <f>Mar!F99</f>
        <v>0</v>
      </c>
      <c r="H123" s="23">
        <f>Abr!F99</f>
        <v>0</v>
      </c>
      <c r="I123" s="23">
        <f>Mai!F99</f>
        <v>0</v>
      </c>
      <c r="J123" s="23">
        <f>Jun!F99</f>
        <v>0</v>
      </c>
      <c r="K123" s="23">
        <f>Jul!F99</f>
        <v>0</v>
      </c>
      <c r="L123" s="23">
        <f>Ago!F99</f>
        <v>0</v>
      </c>
      <c r="M123" s="23">
        <f>Set!F99</f>
        <v>0</v>
      </c>
      <c r="N123" s="23">
        <f>Out!F99</f>
        <v>0</v>
      </c>
      <c r="O123" s="23">
        <f>Nov!F99</f>
        <v>0</v>
      </c>
      <c r="P123" s="23">
        <f>Dez!F99</f>
        <v>0</v>
      </c>
    </row>
    <row r="124" spans="1:16" x14ac:dyDescent="0.3">
      <c r="A124" s="20"/>
      <c r="B124" s="121"/>
      <c r="C124" s="43" t="str">
        <f>Jan!E100</f>
        <v>Subtotal</v>
      </c>
      <c r="D124" s="44">
        <f t="shared" si="1"/>
        <v>0</v>
      </c>
      <c r="E124" s="28">
        <f>Jan!F100</f>
        <v>0</v>
      </c>
      <c r="F124" s="28">
        <f>Fev!F100</f>
        <v>0</v>
      </c>
      <c r="G124" s="28">
        <f>Mar!F100</f>
        <v>0</v>
      </c>
      <c r="H124" s="28">
        <f>Abr!F100</f>
        <v>0</v>
      </c>
      <c r="I124" s="28">
        <f>Mai!F100</f>
        <v>0</v>
      </c>
      <c r="J124" s="28">
        <f>Jun!F100</f>
        <v>0</v>
      </c>
      <c r="K124" s="28">
        <f>Jul!F100</f>
        <v>0</v>
      </c>
      <c r="L124" s="28">
        <f>Ago!F100</f>
        <v>0</v>
      </c>
      <c r="M124" s="28">
        <f>Set!F100</f>
        <v>0</v>
      </c>
      <c r="N124" s="28">
        <f>Out!F100</f>
        <v>0</v>
      </c>
      <c r="O124" s="28">
        <f>Nov!F100</f>
        <v>0</v>
      </c>
      <c r="P124" s="28">
        <f>Dez!F100</f>
        <v>0</v>
      </c>
    </row>
    <row r="125" spans="1:16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5" customHeight="1" thickBot="1" x14ac:dyDescent="0.35">
      <c r="A126" s="38"/>
      <c r="B126" s="39" t="s">
        <v>169</v>
      </c>
      <c r="C126" s="39" t="s">
        <v>168</v>
      </c>
      <c r="D126" s="39" t="s">
        <v>146</v>
      </c>
      <c r="E126" s="39" t="s">
        <v>150</v>
      </c>
      <c r="F126" s="39" t="s">
        <v>151</v>
      </c>
      <c r="G126" s="39" t="s">
        <v>152</v>
      </c>
      <c r="H126" s="39" t="s">
        <v>153</v>
      </c>
      <c r="I126" s="39" t="s">
        <v>154</v>
      </c>
      <c r="J126" s="39" t="s">
        <v>155</v>
      </c>
      <c r="K126" s="39" t="s">
        <v>156</v>
      </c>
      <c r="L126" s="39" t="s">
        <v>157</v>
      </c>
      <c r="M126" s="39" t="s">
        <v>158</v>
      </c>
      <c r="N126" s="39" t="s">
        <v>159</v>
      </c>
      <c r="O126" s="39" t="s">
        <v>160</v>
      </c>
      <c r="P126" s="39" t="s">
        <v>161</v>
      </c>
    </row>
    <row r="127" spans="1:16" x14ac:dyDescent="0.3">
      <c r="B127" s="124" t="s">
        <v>32</v>
      </c>
      <c r="C127" s="7" t="str">
        <f>Jan!B96</f>
        <v>Residencial</v>
      </c>
      <c r="D127" s="42">
        <f t="shared" si="1"/>
        <v>0</v>
      </c>
      <c r="E127" s="31">
        <f>Jan!C96</f>
        <v>0</v>
      </c>
      <c r="F127" s="31">
        <f>Fev!C96</f>
        <v>0</v>
      </c>
      <c r="G127" s="31">
        <f>Mar!C96</f>
        <v>0</v>
      </c>
      <c r="H127" s="31">
        <f>Abr!C96</f>
        <v>0</v>
      </c>
      <c r="I127" s="31">
        <f>Mai!C96</f>
        <v>0</v>
      </c>
      <c r="J127" s="31">
        <f>Jun!C96</f>
        <v>0</v>
      </c>
      <c r="K127" s="31">
        <f>Jul!C96</f>
        <v>0</v>
      </c>
      <c r="L127" s="31">
        <f>Ago!C96</f>
        <v>0</v>
      </c>
      <c r="M127" s="31">
        <f>Set!C96</f>
        <v>0</v>
      </c>
      <c r="N127" s="31">
        <f>Out!C96</f>
        <v>0</v>
      </c>
      <c r="O127" s="31">
        <f>Nov!C96</f>
        <v>0</v>
      </c>
      <c r="P127" s="31">
        <f>Dez!C96</f>
        <v>0</v>
      </c>
    </row>
    <row r="128" spans="1:16" x14ac:dyDescent="0.3">
      <c r="B128" s="120"/>
      <c r="C128" s="7" t="str">
        <f>Jan!B97</f>
        <v>Saúde</v>
      </c>
      <c r="D128" s="42">
        <f t="shared" si="1"/>
        <v>0</v>
      </c>
      <c r="E128" s="31">
        <f>Jan!C97</f>
        <v>0</v>
      </c>
      <c r="F128" s="31">
        <f>Fev!C97</f>
        <v>0</v>
      </c>
      <c r="G128" s="31">
        <f>Mar!C97</f>
        <v>0</v>
      </c>
      <c r="H128" s="31">
        <f>Abr!C97</f>
        <v>0</v>
      </c>
      <c r="I128" s="31">
        <f>Mai!C97</f>
        <v>0</v>
      </c>
      <c r="J128" s="31">
        <f>Jun!C97</f>
        <v>0</v>
      </c>
      <c r="K128" s="31">
        <f>Jul!C97</f>
        <v>0</v>
      </c>
      <c r="L128" s="31">
        <f>Ago!C97</f>
        <v>0</v>
      </c>
      <c r="M128" s="31">
        <f>Set!C97</f>
        <v>0</v>
      </c>
      <c r="N128" s="31">
        <f>Out!C97</f>
        <v>0</v>
      </c>
      <c r="O128" s="31">
        <f>Nov!C97</f>
        <v>0</v>
      </c>
      <c r="P128" s="31">
        <f>Dez!C97</f>
        <v>0</v>
      </c>
    </row>
    <row r="129" spans="1:16" x14ac:dyDescent="0.3">
      <c r="B129" s="120"/>
      <c r="C129" s="7" t="str">
        <f>Jan!B98</f>
        <v>Vida</v>
      </c>
      <c r="D129" s="42">
        <f t="shared" si="1"/>
        <v>0</v>
      </c>
      <c r="E129" s="31">
        <f>Jan!C98</f>
        <v>0</v>
      </c>
      <c r="F129" s="31">
        <f>Fev!C98</f>
        <v>0</v>
      </c>
      <c r="G129" s="31">
        <f>Mar!C98</f>
        <v>0</v>
      </c>
      <c r="H129" s="31">
        <f>Abr!C98</f>
        <v>0</v>
      </c>
      <c r="I129" s="31">
        <f>Mai!C98</f>
        <v>0</v>
      </c>
      <c r="J129" s="31">
        <f>Jun!C98</f>
        <v>0</v>
      </c>
      <c r="K129" s="31">
        <f>Jul!C98</f>
        <v>0</v>
      </c>
      <c r="L129" s="31">
        <f>Ago!C98</f>
        <v>0</v>
      </c>
      <c r="M129" s="31">
        <f>Set!C98</f>
        <v>0</v>
      </c>
      <c r="N129" s="31">
        <f>Out!C98</f>
        <v>0</v>
      </c>
      <c r="O129" s="31">
        <f>Nov!C98</f>
        <v>0</v>
      </c>
      <c r="P129" s="31">
        <f>Dez!C98</f>
        <v>0</v>
      </c>
    </row>
    <row r="130" spans="1:16" x14ac:dyDescent="0.3">
      <c r="B130" s="120"/>
      <c r="C130" s="7" t="str">
        <f>Jan!B99</f>
        <v>Outros</v>
      </c>
      <c r="D130" s="42">
        <f t="shared" si="1"/>
        <v>0</v>
      </c>
      <c r="E130" s="31">
        <f>Jan!C99</f>
        <v>0</v>
      </c>
      <c r="F130" s="31">
        <f>Fev!C99</f>
        <v>0</v>
      </c>
      <c r="G130" s="31">
        <f>Mar!C99</f>
        <v>0</v>
      </c>
      <c r="H130" s="31">
        <f>Abr!C99</f>
        <v>0</v>
      </c>
      <c r="I130" s="31">
        <f>Mai!C99</f>
        <v>0</v>
      </c>
      <c r="J130" s="31">
        <f>Jun!C99</f>
        <v>0</v>
      </c>
      <c r="K130" s="31">
        <f>Jul!C99</f>
        <v>0</v>
      </c>
      <c r="L130" s="31">
        <f>Ago!C99</f>
        <v>0</v>
      </c>
      <c r="M130" s="31">
        <f>Set!C99</f>
        <v>0</v>
      </c>
      <c r="N130" s="31">
        <f>Out!C99</f>
        <v>0</v>
      </c>
      <c r="O130" s="31">
        <f>Nov!C99</f>
        <v>0</v>
      </c>
      <c r="P130" s="31">
        <f>Dez!C99</f>
        <v>0</v>
      </c>
    </row>
    <row r="131" spans="1:16" x14ac:dyDescent="0.3">
      <c r="A131" s="29"/>
      <c r="B131" s="122"/>
      <c r="C131" s="43" t="str">
        <f>Jan!B100</f>
        <v>Subtotal</v>
      </c>
      <c r="D131" s="44">
        <f t="shared" si="1"/>
        <v>0</v>
      </c>
      <c r="E131" s="28">
        <f>Jan!C100</f>
        <v>0</v>
      </c>
      <c r="F131" s="28">
        <f>Fev!C100</f>
        <v>0</v>
      </c>
      <c r="G131" s="28">
        <f>Mar!C100</f>
        <v>0</v>
      </c>
      <c r="H131" s="28">
        <f>Abr!C100</f>
        <v>0</v>
      </c>
      <c r="I131" s="28">
        <f>Mai!C100</f>
        <v>0</v>
      </c>
      <c r="J131" s="28">
        <f>Jun!C100</f>
        <v>0</v>
      </c>
      <c r="K131" s="28">
        <f>Jul!C100</f>
        <v>0</v>
      </c>
      <c r="L131" s="28">
        <f>Ago!C100</f>
        <v>0</v>
      </c>
      <c r="M131" s="28">
        <f>Set!C100</f>
        <v>0</v>
      </c>
      <c r="N131" s="28">
        <f>Out!C100</f>
        <v>0</v>
      </c>
      <c r="O131" s="28">
        <f>Nov!C100</f>
        <v>0</v>
      </c>
      <c r="P131" s="28">
        <f>Dez!C100</f>
        <v>0</v>
      </c>
    </row>
    <row r="132" spans="1:16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ht="15" customHeight="1" thickBot="1" x14ac:dyDescent="0.35">
      <c r="A133" s="38"/>
      <c r="B133" s="39" t="s">
        <v>169</v>
      </c>
      <c r="C133" s="39" t="s">
        <v>168</v>
      </c>
      <c r="D133" s="39" t="s">
        <v>146</v>
      </c>
      <c r="E133" s="39" t="s">
        <v>150</v>
      </c>
      <c r="F133" s="39" t="s">
        <v>151</v>
      </c>
      <c r="G133" s="39" t="s">
        <v>152</v>
      </c>
      <c r="H133" s="39" t="s">
        <v>153</v>
      </c>
      <c r="I133" s="39" t="s">
        <v>154</v>
      </c>
      <c r="J133" s="39" t="s">
        <v>155</v>
      </c>
      <c r="K133" s="39" t="s">
        <v>156</v>
      </c>
      <c r="L133" s="39" t="s">
        <v>157</v>
      </c>
      <c r="M133" s="39" t="s">
        <v>158</v>
      </c>
      <c r="N133" s="39" t="s">
        <v>159</v>
      </c>
      <c r="O133" s="39" t="s">
        <v>160</v>
      </c>
      <c r="P133" s="39" t="s">
        <v>161</v>
      </c>
    </row>
    <row r="134" spans="1:16" x14ac:dyDescent="0.3">
      <c r="B134" s="119" t="s">
        <v>164</v>
      </c>
      <c r="C134" s="18" t="str">
        <f>Jan!E103</f>
        <v>Aposentadoria</v>
      </c>
      <c r="D134" s="42">
        <f t="shared" ref="D134:D139" si="2">SUM(E134:P134)</f>
        <v>0</v>
      </c>
      <c r="E134" s="31">
        <f>Jan!F103</f>
        <v>0</v>
      </c>
      <c r="F134" s="23">
        <f>Fev!F103</f>
        <v>0</v>
      </c>
      <c r="G134" s="23">
        <f>Mar!F103</f>
        <v>0</v>
      </c>
      <c r="H134" s="23">
        <f>Abr!F103</f>
        <v>0</v>
      </c>
      <c r="I134" s="23">
        <f>Mai!F103</f>
        <v>0</v>
      </c>
      <c r="J134" s="23">
        <f>Jun!F103</f>
        <v>0</v>
      </c>
      <c r="K134" s="23">
        <f>Jul!F103</f>
        <v>0</v>
      </c>
      <c r="L134" s="23">
        <f>Ago!F103</f>
        <v>0</v>
      </c>
      <c r="M134" s="23">
        <f>Set!F103</f>
        <v>0</v>
      </c>
      <c r="N134" s="23">
        <f>Out!F103</f>
        <v>0</v>
      </c>
      <c r="O134" s="23">
        <f>Nov!F103</f>
        <v>0</v>
      </c>
      <c r="P134" s="23">
        <f>Dez!F103</f>
        <v>0</v>
      </c>
    </row>
    <row r="135" spans="1:16" x14ac:dyDescent="0.3">
      <c r="B135" s="120"/>
      <c r="C135" s="18" t="str">
        <f>Jan!E104</f>
        <v>Investimentos</v>
      </c>
      <c r="D135" s="42">
        <f t="shared" si="2"/>
        <v>0</v>
      </c>
      <c r="E135" s="31">
        <f>Jan!F104</f>
        <v>0</v>
      </c>
      <c r="F135" s="23">
        <f>Fev!F104</f>
        <v>0</v>
      </c>
      <c r="G135" s="23">
        <f>Mar!F104</f>
        <v>0</v>
      </c>
      <c r="H135" s="23">
        <f>Abr!F104</f>
        <v>0</v>
      </c>
      <c r="I135" s="23">
        <f>Mai!F104</f>
        <v>0</v>
      </c>
      <c r="J135" s="23">
        <f>Jun!F104</f>
        <v>0</v>
      </c>
      <c r="K135" s="23">
        <f>Jul!F104</f>
        <v>0</v>
      </c>
      <c r="L135" s="23">
        <f>Ago!F104</f>
        <v>0</v>
      </c>
      <c r="M135" s="23">
        <f>Set!F104</f>
        <v>0</v>
      </c>
      <c r="N135" s="23">
        <f>Out!F104</f>
        <v>0</v>
      </c>
      <c r="O135" s="23">
        <f>Nov!F104</f>
        <v>0</v>
      </c>
      <c r="P135" s="23">
        <f>Dez!F104</f>
        <v>0</v>
      </c>
    </row>
    <row r="136" spans="1:16" x14ac:dyDescent="0.3">
      <c r="B136" s="120"/>
      <c r="C136" s="18" t="str">
        <f>Jan!E105</f>
        <v>Outros</v>
      </c>
      <c r="D136" s="42">
        <f t="shared" si="2"/>
        <v>0</v>
      </c>
      <c r="E136" s="31">
        <f>Jan!F105</f>
        <v>0</v>
      </c>
      <c r="F136" s="23">
        <f>Fev!F105</f>
        <v>0</v>
      </c>
      <c r="G136" s="23">
        <f>Mar!F105</f>
        <v>0</v>
      </c>
      <c r="H136" s="23">
        <f>Abr!F105</f>
        <v>0</v>
      </c>
      <c r="I136" s="23">
        <f>Mai!F105</f>
        <v>0</v>
      </c>
      <c r="J136" s="23">
        <f>Jun!F105</f>
        <v>0</v>
      </c>
      <c r="K136" s="23">
        <f>Jul!F105</f>
        <v>0</v>
      </c>
      <c r="L136" s="23">
        <f>Ago!F105</f>
        <v>0</v>
      </c>
      <c r="M136" s="23">
        <f>Set!F105</f>
        <v>0</v>
      </c>
      <c r="N136" s="23">
        <f>Out!F105</f>
        <v>0</v>
      </c>
      <c r="O136" s="23">
        <f>Nov!F105</f>
        <v>0</v>
      </c>
      <c r="P136" s="23">
        <f>Dez!F105</f>
        <v>0</v>
      </c>
    </row>
    <row r="137" spans="1:16" x14ac:dyDescent="0.3">
      <c r="B137" s="120"/>
      <c r="C137" s="18" t="str">
        <f>Jan!E106</f>
        <v>Outros</v>
      </c>
      <c r="D137" s="42">
        <f t="shared" si="2"/>
        <v>0</v>
      </c>
      <c r="E137" s="31">
        <f>Jan!F106</f>
        <v>0</v>
      </c>
      <c r="F137" s="23">
        <f>Fev!F106</f>
        <v>0</v>
      </c>
      <c r="G137" s="23">
        <f>Mar!F106</f>
        <v>0</v>
      </c>
      <c r="H137" s="23">
        <f>Abr!F106</f>
        <v>0</v>
      </c>
      <c r="I137" s="23">
        <f>Mai!F106</f>
        <v>0</v>
      </c>
      <c r="J137" s="23">
        <f>Jun!F106</f>
        <v>0</v>
      </c>
      <c r="K137" s="23">
        <f>Jul!F106</f>
        <v>0</v>
      </c>
      <c r="L137" s="23">
        <f>Ago!F106</f>
        <v>0</v>
      </c>
      <c r="M137" s="23">
        <f>Set!F106</f>
        <v>0</v>
      </c>
      <c r="N137" s="23">
        <f>Out!F106</f>
        <v>0</v>
      </c>
      <c r="O137" s="23">
        <f>Nov!F106</f>
        <v>0</v>
      </c>
      <c r="P137" s="23">
        <f>Dez!F106</f>
        <v>0</v>
      </c>
    </row>
    <row r="138" spans="1:16" x14ac:dyDescent="0.3">
      <c r="B138" s="120"/>
      <c r="C138" s="18" t="str">
        <f>Jan!E107</f>
        <v>Outros</v>
      </c>
      <c r="D138" s="42">
        <f t="shared" si="2"/>
        <v>0</v>
      </c>
      <c r="E138" s="31">
        <f>Jan!F107</f>
        <v>0</v>
      </c>
      <c r="F138" s="23">
        <f>Fev!F107</f>
        <v>0</v>
      </c>
      <c r="G138" s="23">
        <f>Mar!F107</f>
        <v>0</v>
      </c>
      <c r="H138" s="23">
        <f>Abr!F107</f>
        <v>0</v>
      </c>
      <c r="I138" s="23">
        <f>Mai!F107</f>
        <v>0</v>
      </c>
      <c r="J138" s="23">
        <f>Jun!F107</f>
        <v>0</v>
      </c>
      <c r="K138" s="23">
        <f>Jul!F107</f>
        <v>0</v>
      </c>
      <c r="L138" s="23">
        <f>Ago!F107</f>
        <v>0</v>
      </c>
      <c r="M138" s="23">
        <f>Set!F107</f>
        <v>0</v>
      </c>
      <c r="N138" s="23">
        <f>Out!F107</f>
        <v>0</v>
      </c>
      <c r="O138" s="23">
        <f>Nov!F107</f>
        <v>0</v>
      </c>
      <c r="P138" s="23">
        <f>Dez!F107</f>
        <v>0</v>
      </c>
    </row>
    <row r="139" spans="1:16" x14ac:dyDescent="0.3">
      <c r="A139" s="20"/>
      <c r="B139" s="121"/>
      <c r="C139" s="43" t="str">
        <f>Jan!E108</f>
        <v>Subtotal</v>
      </c>
      <c r="D139" s="44">
        <f t="shared" si="2"/>
        <v>0</v>
      </c>
      <c r="E139" s="28">
        <f>Jan!F108</f>
        <v>0</v>
      </c>
      <c r="F139" s="28">
        <f>Fev!F108</f>
        <v>0</v>
      </c>
      <c r="G139" s="28">
        <f>Mar!F108</f>
        <v>0</v>
      </c>
      <c r="H139" s="28">
        <f>Abr!F108</f>
        <v>0</v>
      </c>
      <c r="I139" s="28">
        <f>Mai!F108</f>
        <v>0</v>
      </c>
      <c r="J139" s="28">
        <f>Jun!F108</f>
        <v>0</v>
      </c>
      <c r="K139" s="28">
        <f>Jul!F108</f>
        <v>0</v>
      </c>
      <c r="L139" s="28">
        <f>Ago!F108</f>
        <v>0</v>
      </c>
      <c r="M139" s="28">
        <f>Set!F108</f>
        <v>0</v>
      </c>
      <c r="N139" s="28">
        <f>Out!F108</f>
        <v>0</v>
      </c>
      <c r="O139" s="28">
        <f>Nov!F108</f>
        <v>0</v>
      </c>
      <c r="P139" s="28">
        <f>Dez!F108</f>
        <v>0</v>
      </c>
    </row>
    <row r="140" spans="1:16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ht="15" customHeight="1" thickBot="1" x14ac:dyDescent="0.35">
      <c r="A141" s="38"/>
      <c r="B141" s="39" t="s">
        <v>169</v>
      </c>
      <c r="C141" s="39" t="s">
        <v>168</v>
      </c>
      <c r="D141" s="39" t="s">
        <v>146</v>
      </c>
      <c r="E141" s="39" t="s">
        <v>150</v>
      </c>
      <c r="F141" s="39" t="s">
        <v>151</v>
      </c>
      <c r="G141" s="39" t="s">
        <v>152</v>
      </c>
      <c r="H141" s="39" t="s">
        <v>153</v>
      </c>
      <c r="I141" s="39" t="s">
        <v>154</v>
      </c>
      <c r="J141" s="39" t="s">
        <v>155</v>
      </c>
      <c r="K141" s="39" t="s">
        <v>156</v>
      </c>
      <c r="L141" s="39" t="s">
        <v>157</v>
      </c>
      <c r="M141" s="39" t="s">
        <v>158</v>
      </c>
      <c r="N141" s="39" t="s">
        <v>159</v>
      </c>
      <c r="O141" s="39" t="s">
        <v>160</v>
      </c>
      <c r="P141" s="39" t="s">
        <v>161</v>
      </c>
    </row>
    <row r="142" spans="1:16" x14ac:dyDescent="0.3">
      <c r="B142" s="119" t="s">
        <v>165</v>
      </c>
      <c r="C142" s="18" t="str">
        <f>Jan!H73</f>
        <v>Instituição beneficente 1</v>
      </c>
      <c r="D142" s="42">
        <f t="shared" si="1"/>
        <v>0</v>
      </c>
      <c r="E142" s="31">
        <f>Jan!I73</f>
        <v>0</v>
      </c>
      <c r="F142" s="23">
        <f>Fev!I73</f>
        <v>0</v>
      </c>
      <c r="G142" s="23">
        <f>Mar!I73</f>
        <v>0</v>
      </c>
      <c r="H142" s="23">
        <f>Abr!I73</f>
        <v>0</v>
      </c>
      <c r="I142" s="23">
        <f>Mai!I73</f>
        <v>0</v>
      </c>
      <c r="J142" s="23">
        <f>Jun!I73</f>
        <v>0</v>
      </c>
      <c r="K142" s="23">
        <f>Jul!I73</f>
        <v>0</v>
      </c>
      <c r="L142" s="23">
        <f>Ago!I73</f>
        <v>0</v>
      </c>
      <c r="M142" s="23">
        <f>Set!I73</f>
        <v>0</v>
      </c>
      <c r="N142" s="23">
        <f>Out!I73</f>
        <v>0</v>
      </c>
      <c r="O142" s="23">
        <f>Nov!I73</f>
        <v>0</v>
      </c>
      <c r="P142" s="23">
        <f>Dez!I73</f>
        <v>0</v>
      </c>
    </row>
    <row r="143" spans="1:16" x14ac:dyDescent="0.3">
      <c r="B143" s="120"/>
      <c r="C143" s="18" t="str">
        <f>Jan!H74</f>
        <v>Instituição beneficente 2</v>
      </c>
      <c r="D143" s="42">
        <f t="shared" si="1"/>
        <v>0</v>
      </c>
      <c r="E143" s="31">
        <f>Jan!I74</f>
        <v>0</v>
      </c>
      <c r="F143" s="23">
        <f>Fev!I74</f>
        <v>0</v>
      </c>
      <c r="G143" s="23">
        <f>Mar!I74</f>
        <v>0</v>
      </c>
      <c r="H143" s="23">
        <f>Abr!I74</f>
        <v>0</v>
      </c>
      <c r="I143" s="23">
        <f>Mai!I74</f>
        <v>0</v>
      </c>
      <c r="J143" s="23">
        <f>Jun!I74</f>
        <v>0</v>
      </c>
      <c r="K143" s="23">
        <f>Jul!I74</f>
        <v>0</v>
      </c>
      <c r="L143" s="23">
        <f>Ago!I74</f>
        <v>0</v>
      </c>
      <c r="M143" s="23">
        <f>Set!I74</f>
        <v>0</v>
      </c>
      <c r="N143" s="23">
        <f>Out!I74</f>
        <v>0</v>
      </c>
      <c r="O143" s="23">
        <f>Nov!I74</f>
        <v>0</v>
      </c>
      <c r="P143" s="23">
        <f>Dez!I74</f>
        <v>0</v>
      </c>
    </row>
    <row r="144" spans="1:16" x14ac:dyDescent="0.3">
      <c r="B144" s="120"/>
      <c r="C144" s="18" t="str">
        <f>Jan!H75</f>
        <v>Instituição beneficente 3</v>
      </c>
      <c r="D144" s="42">
        <f t="shared" si="1"/>
        <v>0</v>
      </c>
      <c r="E144" s="31">
        <f>Jan!I75</f>
        <v>0</v>
      </c>
      <c r="F144" s="23">
        <f>Fev!I75</f>
        <v>0</v>
      </c>
      <c r="G144" s="23">
        <f>Mar!I75</f>
        <v>0</v>
      </c>
      <c r="H144" s="23">
        <f>Abr!I75</f>
        <v>0</v>
      </c>
      <c r="I144" s="23">
        <f>Mai!I75</f>
        <v>0</v>
      </c>
      <c r="J144" s="23">
        <f>Jun!I75</f>
        <v>0</v>
      </c>
      <c r="K144" s="23">
        <f>Jul!I75</f>
        <v>0</v>
      </c>
      <c r="L144" s="23">
        <f>Ago!I75</f>
        <v>0</v>
      </c>
      <c r="M144" s="23">
        <f>Set!I75</f>
        <v>0</v>
      </c>
      <c r="N144" s="23">
        <f>Out!I75</f>
        <v>0</v>
      </c>
      <c r="O144" s="23">
        <f>Nov!I75</f>
        <v>0</v>
      </c>
      <c r="P144" s="23">
        <f>Dez!I75</f>
        <v>0</v>
      </c>
    </row>
    <row r="145" spans="1:16" x14ac:dyDescent="0.3">
      <c r="A145" s="20"/>
      <c r="B145" s="121"/>
      <c r="C145" s="43" t="str">
        <f>Jan!H76</f>
        <v>Subtotal</v>
      </c>
      <c r="D145" s="44">
        <f t="shared" si="1"/>
        <v>0</v>
      </c>
      <c r="E145" s="28">
        <f>Jan!I76</f>
        <v>0</v>
      </c>
      <c r="F145" s="28">
        <f>Fev!I76</f>
        <v>0</v>
      </c>
      <c r="G145" s="28">
        <f>Mar!I76</f>
        <v>0</v>
      </c>
      <c r="H145" s="28">
        <f>Abr!I76</f>
        <v>0</v>
      </c>
      <c r="I145" s="28">
        <f>Mai!I76</f>
        <v>0</v>
      </c>
      <c r="J145" s="28">
        <f>Jun!I76</f>
        <v>0</v>
      </c>
      <c r="K145" s="28">
        <f>Jul!I76</f>
        <v>0</v>
      </c>
      <c r="L145" s="28">
        <f>Ago!I76</f>
        <v>0</v>
      </c>
      <c r="M145" s="28">
        <f>Set!I76</f>
        <v>0</v>
      </c>
      <c r="N145" s="28">
        <f>Out!I76</f>
        <v>0</v>
      </c>
      <c r="O145" s="28">
        <f>Nov!I76</f>
        <v>0</v>
      </c>
      <c r="P145" s="28">
        <f>Dez!I76</f>
        <v>0</v>
      </c>
    </row>
    <row r="147" spans="1:16" ht="15" customHeight="1" thickBot="1" x14ac:dyDescent="0.35">
      <c r="A147" s="38"/>
      <c r="B147" s="39" t="s">
        <v>169</v>
      </c>
      <c r="C147" s="39" t="s">
        <v>168</v>
      </c>
      <c r="D147" s="39" t="s">
        <v>146</v>
      </c>
      <c r="E147" s="39" t="s">
        <v>150</v>
      </c>
      <c r="F147" s="39" t="s">
        <v>151</v>
      </c>
      <c r="G147" s="39" t="s">
        <v>152</v>
      </c>
      <c r="H147" s="39" t="s">
        <v>153</v>
      </c>
      <c r="I147" s="39" t="s">
        <v>154</v>
      </c>
      <c r="J147" s="39" t="s">
        <v>155</v>
      </c>
      <c r="K147" s="39" t="s">
        <v>156</v>
      </c>
      <c r="L147" s="39" t="s">
        <v>157</v>
      </c>
      <c r="M147" s="39" t="s">
        <v>158</v>
      </c>
      <c r="N147" s="39" t="s">
        <v>159</v>
      </c>
      <c r="O147" s="39" t="s">
        <v>160</v>
      </c>
      <c r="P147" s="39" t="s">
        <v>161</v>
      </c>
    </row>
    <row r="148" spans="1:16" x14ac:dyDescent="0.3">
      <c r="B148" s="119" t="s">
        <v>166</v>
      </c>
      <c r="C148" s="18" t="str">
        <f>Jan!H79</f>
        <v>Advogado</v>
      </c>
      <c r="D148" s="42">
        <f t="shared" ref="D148:D176" si="3">SUM(E148:P148)</f>
        <v>0</v>
      </c>
      <c r="E148" s="31">
        <f>Jan!I79</f>
        <v>0</v>
      </c>
      <c r="F148" s="23">
        <f>Fev!I79</f>
        <v>0</v>
      </c>
      <c r="G148" s="23">
        <f>Mar!I79</f>
        <v>0</v>
      </c>
      <c r="H148" s="23">
        <f>Abr!I79</f>
        <v>0</v>
      </c>
      <c r="I148" s="23">
        <f>Mai!I79</f>
        <v>0</v>
      </c>
      <c r="J148" s="23">
        <f>Jun!I79</f>
        <v>0</v>
      </c>
      <c r="K148" s="23">
        <f>Jul!I79</f>
        <v>0</v>
      </c>
      <c r="L148" s="23">
        <f>Ago!I79</f>
        <v>0</v>
      </c>
      <c r="M148" s="23">
        <f>Set!I79</f>
        <v>0</v>
      </c>
      <c r="N148" s="23">
        <f>Out!I79</f>
        <v>0</v>
      </c>
      <c r="O148" s="23">
        <f>Nov!I79</f>
        <v>0</v>
      </c>
      <c r="P148" s="23">
        <f>Dez!I79</f>
        <v>0</v>
      </c>
    </row>
    <row r="149" spans="1:16" x14ac:dyDescent="0.3">
      <c r="B149" s="120"/>
      <c r="C149" s="18" t="str">
        <f>Jan!H80</f>
        <v>Pensão alimentícia</v>
      </c>
      <c r="D149" s="42">
        <f t="shared" si="3"/>
        <v>0</v>
      </c>
      <c r="E149" s="31">
        <f>Jan!I80</f>
        <v>0</v>
      </c>
      <c r="F149" s="23">
        <f>Fev!I80</f>
        <v>0</v>
      </c>
      <c r="G149" s="23">
        <f>Mar!I80</f>
        <v>0</v>
      </c>
      <c r="H149" s="23">
        <f>Abr!I80</f>
        <v>0</v>
      </c>
      <c r="I149" s="23">
        <f>Mai!I80</f>
        <v>0</v>
      </c>
      <c r="J149" s="23">
        <f>Jun!I80</f>
        <v>0</v>
      </c>
      <c r="K149" s="23">
        <f>Jul!I80</f>
        <v>0</v>
      </c>
      <c r="L149" s="23">
        <f>Ago!I80</f>
        <v>0</v>
      </c>
      <c r="M149" s="23">
        <f>Set!I80</f>
        <v>0</v>
      </c>
      <c r="N149" s="23">
        <f>Out!I80</f>
        <v>0</v>
      </c>
      <c r="O149" s="23">
        <f>Nov!I80</f>
        <v>0</v>
      </c>
      <c r="P149" s="23">
        <f>Dez!I80</f>
        <v>0</v>
      </c>
    </row>
    <row r="150" spans="1:16" x14ac:dyDescent="0.3">
      <c r="B150" s="120"/>
      <c r="C150" s="18" t="str">
        <f>Jan!H81</f>
        <v>Pagamentos em garantia ou julgamento</v>
      </c>
      <c r="D150" s="42">
        <f t="shared" si="3"/>
        <v>0</v>
      </c>
      <c r="E150" s="31">
        <f>Jan!I81</f>
        <v>0</v>
      </c>
      <c r="F150" s="23">
        <f>Fev!I81</f>
        <v>0</v>
      </c>
      <c r="G150" s="23">
        <f>Mar!I81</f>
        <v>0</v>
      </c>
      <c r="H150" s="23">
        <f>Abr!I81</f>
        <v>0</v>
      </c>
      <c r="I150" s="23">
        <f>Mai!I81</f>
        <v>0</v>
      </c>
      <c r="J150" s="23">
        <f>Jun!I81</f>
        <v>0</v>
      </c>
      <c r="K150" s="23">
        <f>Jul!I81</f>
        <v>0</v>
      </c>
      <c r="L150" s="23">
        <f>Ago!I81</f>
        <v>0</v>
      </c>
      <c r="M150" s="23">
        <f>Set!I81</f>
        <v>0</v>
      </c>
      <c r="N150" s="23">
        <f>Out!I81</f>
        <v>0</v>
      </c>
      <c r="O150" s="23">
        <f>Nov!I81</f>
        <v>0</v>
      </c>
      <c r="P150" s="23">
        <f>Dez!I81</f>
        <v>0</v>
      </c>
    </row>
    <row r="151" spans="1:16" x14ac:dyDescent="0.3">
      <c r="B151" s="120"/>
      <c r="C151" s="18" t="str">
        <f>Jan!H82</f>
        <v>Outros</v>
      </c>
      <c r="D151" s="42">
        <f t="shared" si="3"/>
        <v>0</v>
      </c>
      <c r="E151" s="31">
        <f>Jan!I82</f>
        <v>0</v>
      </c>
      <c r="F151" s="23">
        <f>Fev!I82</f>
        <v>0</v>
      </c>
      <c r="G151" s="23">
        <f>Mar!I82</f>
        <v>0</v>
      </c>
      <c r="H151" s="23">
        <f>Abr!I82</f>
        <v>0</v>
      </c>
      <c r="I151" s="23">
        <f>Mai!I82</f>
        <v>0</v>
      </c>
      <c r="J151" s="23">
        <f>Jun!I82</f>
        <v>0</v>
      </c>
      <c r="K151" s="23">
        <f>Jul!I82</f>
        <v>0</v>
      </c>
      <c r="L151" s="23">
        <f>Ago!I82</f>
        <v>0</v>
      </c>
      <c r="M151" s="23">
        <f>Set!I82</f>
        <v>0</v>
      </c>
      <c r="N151" s="23">
        <f>Out!I82</f>
        <v>0</v>
      </c>
      <c r="O151" s="23">
        <f>Nov!I82</f>
        <v>0</v>
      </c>
      <c r="P151" s="23">
        <f>Dez!I82</f>
        <v>0</v>
      </c>
    </row>
    <row r="152" spans="1:16" x14ac:dyDescent="0.3">
      <c r="A152" s="20"/>
      <c r="B152" s="121"/>
      <c r="C152" s="43" t="str">
        <f>Jan!H83</f>
        <v>Subtotal</v>
      </c>
      <c r="D152" s="44">
        <f t="shared" si="3"/>
        <v>0</v>
      </c>
      <c r="E152" s="28">
        <f>Jan!I83</f>
        <v>0</v>
      </c>
      <c r="F152" s="28">
        <f>Fev!I83</f>
        <v>0</v>
      </c>
      <c r="G152" s="28">
        <f>Mar!I83</f>
        <v>0</v>
      </c>
      <c r="H152" s="28">
        <f>Abr!I83</f>
        <v>0</v>
      </c>
      <c r="I152" s="28">
        <f>Mai!I83</f>
        <v>0</v>
      </c>
      <c r="J152" s="28">
        <f>Jun!I83</f>
        <v>0</v>
      </c>
      <c r="K152" s="28">
        <f>Jul!I83</f>
        <v>0</v>
      </c>
      <c r="L152" s="28">
        <f>Ago!I83</f>
        <v>0</v>
      </c>
      <c r="M152" s="28">
        <f>Set!I83</f>
        <v>0</v>
      </c>
      <c r="N152" s="28">
        <f>Out!I83</f>
        <v>0</v>
      </c>
      <c r="O152" s="28">
        <f>Nov!I83</f>
        <v>0</v>
      </c>
      <c r="P152" s="28">
        <f>Dez!I83</f>
        <v>0</v>
      </c>
    </row>
    <row r="153" spans="1:16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ht="15" customHeight="1" thickBot="1" x14ac:dyDescent="0.35">
      <c r="A154" s="38"/>
      <c r="B154" s="39" t="s">
        <v>169</v>
      </c>
      <c r="C154" s="39" t="s">
        <v>168</v>
      </c>
      <c r="D154" s="39" t="s">
        <v>146</v>
      </c>
      <c r="E154" s="39" t="s">
        <v>150</v>
      </c>
      <c r="F154" s="39" t="s">
        <v>151</v>
      </c>
      <c r="G154" s="39" t="s">
        <v>152</v>
      </c>
      <c r="H154" s="39" t="s">
        <v>153</v>
      </c>
      <c r="I154" s="39" t="s">
        <v>154</v>
      </c>
      <c r="J154" s="39" t="s">
        <v>155</v>
      </c>
      <c r="K154" s="39" t="s">
        <v>156</v>
      </c>
      <c r="L154" s="39" t="s">
        <v>157</v>
      </c>
      <c r="M154" s="39" t="s">
        <v>158</v>
      </c>
      <c r="N154" s="39" t="s">
        <v>159</v>
      </c>
      <c r="O154" s="39" t="s">
        <v>160</v>
      </c>
      <c r="P154" s="39" t="s">
        <v>161</v>
      </c>
    </row>
    <row r="155" spans="1:16" x14ac:dyDescent="0.3">
      <c r="B155" s="119" t="s">
        <v>39</v>
      </c>
      <c r="C155" s="18" t="str">
        <f>Jan!H86</f>
        <v>Alimentação</v>
      </c>
      <c r="D155" s="42">
        <f t="shared" si="3"/>
        <v>0</v>
      </c>
      <c r="E155" s="31">
        <f>Jan!I86</f>
        <v>0</v>
      </c>
      <c r="F155" s="23">
        <f>Fev!I86</f>
        <v>0</v>
      </c>
      <c r="G155" s="23">
        <f>Mar!I86</f>
        <v>0</v>
      </c>
      <c r="H155" s="23">
        <f>Abr!I86</f>
        <v>0</v>
      </c>
      <c r="I155" s="23">
        <f>Mai!I86</f>
        <v>0</v>
      </c>
      <c r="J155" s="23">
        <f>Jun!I86</f>
        <v>0</v>
      </c>
      <c r="K155" s="23">
        <f>Jul!I86</f>
        <v>0</v>
      </c>
      <c r="L155" s="23">
        <f>Ago!I86</f>
        <v>0</v>
      </c>
      <c r="M155" s="23">
        <f>Set!I86</f>
        <v>0</v>
      </c>
      <c r="N155" s="23">
        <f>Out!I86</f>
        <v>0</v>
      </c>
      <c r="O155" s="23">
        <f>Nov!I86</f>
        <v>0</v>
      </c>
      <c r="P155" s="23">
        <f>Dez!I86</f>
        <v>0</v>
      </c>
    </row>
    <row r="156" spans="1:16" x14ac:dyDescent="0.3">
      <c r="B156" s="120"/>
      <c r="C156" s="18" t="str">
        <f>Jan!H87</f>
        <v>Médico</v>
      </c>
      <c r="D156" s="42">
        <f t="shared" si="3"/>
        <v>0</v>
      </c>
      <c r="E156" s="31">
        <f>Jan!I87</f>
        <v>0</v>
      </c>
      <c r="F156" s="23">
        <f>Fev!I87</f>
        <v>0</v>
      </c>
      <c r="G156" s="23">
        <f>Mar!I87</f>
        <v>0</v>
      </c>
      <c r="H156" s="23">
        <f>Abr!I87</f>
        <v>0</v>
      </c>
      <c r="I156" s="23">
        <f>Mai!I87</f>
        <v>0</v>
      </c>
      <c r="J156" s="23">
        <f>Jun!I87</f>
        <v>0</v>
      </c>
      <c r="K156" s="23">
        <f>Jul!I87</f>
        <v>0</v>
      </c>
      <c r="L156" s="23">
        <f>Ago!I87</f>
        <v>0</v>
      </c>
      <c r="M156" s="23">
        <f>Set!I87</f>
        <v>0</v>
      </c>
      <c r="N156" s="23">
        <f>Out!I87</f>
        <v>0</v>
      </c>
      <c r="O156" s="23">
        <f>Nov!I87</f>
        <v>0</v>
      </c>
      <c r="P156" s="23">
        <f>Dez!I87</f>
        <v>0</v>
      </c>
    </row>
    <row r="157" spans="1:16" x14ac:dyDescent="0.3">
      <c r="B157" s="120"/>
      <c r="C157" s="18" t="str">
        <f>Jan!H88</f>
        <v>Banho e tosa</v>
      </c>
      <c r="D157" s="42">
        <f t="shared" si="3"/>
        <v>0</v>
      </c>
      <c r="E157" s="31">
        <f>Jan!I88</f>
        <v>0</v>
      </c>
      <c r="F157" s="23">
        <f>Fev!I88</f>
        <v>0</v>
      </c>
      <c r="G157" s="23">
        <f>Mar!I88</f>
        <v>0</v>
      </c>
      <c r="H157" s="23">
        <f>Abr!I88</f>
        <v>0</v>
      </c>
      <c r="I157" s="23">
        <f>Mai!I88</f>
        <v>0</v>
      </c>
      <c r="J157" s="23">
        <f>Jun!I88</f>
        <v>0</v>
      </c>
      <c r="K157" s="23">
        <f>Jul!I88</f>
        <v>0</v>
      </c>
      <c r="L157" s="23">
        <f>Ago!I88</f>
        <v>0</v>
      </c>
      <c r="M157" s="23">
        <f>Set!I88</f>
        <v>0</v>
      </c>
      <c r="N157" s="23">
        <f>Out!I88</f>
        <v>0</v>
      </c>
      <c r="O157" s="23">
        <f>Nov!I88</f>
        <v>0</v>
      </c>
      <c r="P157" s="23">
        <f>Dez!I88</f>
        <v>0</v>
      </c>
    </row>
    <row r="158" spans="1:16" x14ac:dyDescent="0.3">
      <c r="B158" s="120"/>
      <c r="C158" s="18" t="str">
        <f>Jan!H89</f>
        <v>Brinquedos</v>
      </c>
      <c r="D158" s="42">
        <f t="shared" si="3"/>
        <v>0</v>
      </c>
      <c r="E158" s="31">
        <f>Jan!I89</f>
        <v>0</v>
      </c>
      <c r="F158" s="23">
        <f>Fev!I89</f>
        <v>0</v>
      </c>
      <c r="G158" s="23">
        <f>Mar!I89</f>
        <v>0</v>
      </c>
      <c r="H158" s="23">
        <f>Abr!I89</f>
        <v>0</v>
      </c>
      <c r="I158" s="23">
        <f>Mai!I89</f>
        <v>0</v>
      </c>
      <c r="J158" s="23">
        <f>Jun!I89</f>
        <v>0</v>
      </c>
      <c r="K158" s="23">
        <f>Jul!I89</f>
        <v>0</v>
      </c>
      <c r="L158" s="23">
        <f>Ago!I89</f>
        <v>0</v>
      </c>
      <c r="M158" s="23">
        <f>Set!I89</f>
        <v>0</v>
      </c>
      <c r="N158" s="23">
        <f>Out!I89</f>
        <v>0</v>
      </c>
      <c r="O158" s="23">
        <f>Nov!I89</f>
        <v>0</v>
      </c>
      <c r="P158" s="23">
        <f>Dez!I89</f>
        <v>0</v>
      </c>
    </row>
    <row r="159" spans="1:16" x14ac:dyDescent="0.3">
      <c r="B159" s="120"/>
      <c r="C159" s="18" t="str">
        <f>Jan!H90</f>
        <v>Outros</v>
      </c>
      <c r="D159" s="42">
        <f t="shared" si="3"/>
        <v>0</v>
      </c>
      <c r="E159" s="31">
        <f>Jan!I90</f>
        <v>0</v>
      </c>
      <c r="F159" s="23">
        <f>Fev!I90</f>
        <v>0</v>
      </c>
      <c r="G159" s="23">
        <f>Mar!I90</f>
        <v>0</v>
      </c>
      <c r="H159" s="23">
        <f>Abr!I90</f>
        <v>0</v>
      </c>
      <c r="I159" s="23">
        <f>Mai!I90</f>
        <v>0</v>
      </c>
      <c r="J159" s="23">
        <f>Jun!I90</f>
        <v>0</v>
      </c>
      <c r="K159" s="23">
        <f>Jul!I90</f>
        <v>0</v>
      </c>
      <c r="L159" s="23">
        <f>Ago!I90</f>
        <v>0</v>
      </c>
      <c r="M159" s="23">
        <f>Set!I90</f>
        <v>0</v>
      </c>
      <c r="N159" s="23">
        <f>Out!I90</f>
        <v>0</v>
      </c>
      <c r="O159" s="23">
        <f>Nov!I90</f>
        <v>0</v>
      </c>
      <c r="P159" s="23">
        <f>Dez!I90</f>
        <v>0</v>
      </c>
    </row>
    <row r="160" spans="1:16" x14ac:dyDescent="0.3">
      <c r="A160" s="20"/>
      <c r="B160" s="121"/>
      <c r="C160" s="43" t="str">
        <f>Jan!H91</f>
        <v>Subtotal</v>
      </c>
      <c r="D160" s="44">
        <f t="shared" si="3"/>
        <v>0</v>
      </c>
      <c r="E160" s="28">
        <f>Jan!I91</f>
        <v>0</v>
      </c>
      <c r="F160" s="28">
        <f>Fev!I91</f>
        <v>0</v>
      </c>
      <c r="G160" s="28">
        <f>Mar!I91</f>
        <v>0</v>
      </c>
      <c r="H160" s="28">
        <f>Abr!I91</f>
        <v>0</v>
      </c>
      <c r="I160" s="28">
        <f>Mai!I91</f>
        <v>0</v>
      </c>
      <c r="J160" s="28">
        <f>Jun!I91</f>
        <v>0</v>
      </c>
      <c r="K160" s="28">
        <f>Jul!I91</f>
        <v>0</v>
      </c>
      <c r="L160" s="28">
        <f>Ago!I91</f>
        <v>0</v>
      </c>
      <c r="M160" s="28">
        <f>Set!I91</f>
        <v>0</v>
      </c>
      <c r="N160" s="28">
        <f>Out!I91</f>
        <v>0</v>
      </c>
      <c r="O160" s="28">
        <f>Nov!I91</f>
        <v>0</v>
      </c>
      <c r="P160" s="28">
        <f>Dez!I91</f>
        <v>0</v>
      </c>
    </row>
    <row r="161" spans="1:16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ht="15" customHeight="1" thickBot="1" x14ac:dyDescent="0.35">
      <c r="A162" s="38"/>
      <c r="B162" s="39" t="s">
        <v>169</v>
      </c>
      <c r="C162" s="39" t="s">
        <v>168</v>
      </c>
      <c r="D162" s="39" t="s">
        <v>146</v>
      </c>
      <c r="E162" s="39" t="s">
        <v>150</v>
      </c>
      <c r="F162" s="39" t="s">
        <v>151</v>
      </c>
      <c r="G162" s="39" t="s">
        <v>152</v>
      </c>
      <c r="H162" s="39" t="s">
        <v>153</v>
      </c>
      <c r="I162" s="39" t="s">
        <v>154</v>
      </c>
      <c r="J162" s="39" t="s">
        <v>155</v>
      </c>
      <c r="K162" s="39" t="s">
        <v>156</v>
      </c>
      <c r="L162" s="39" t="s">
        <v>157</v>
      </c>
      <c r="M162" s="39" t="s">
        <v>158</v>
      </c>
      <c r="N162" s="39" t="s">
        <v>159</v>
      </c>
      <c r="O162" s="39" t="s">
        <v>160</v>
      </c>
      <c r="P162" s="39" t="s">
        <v>161</v>
      </c>
    </row>
    <row r="163" spans="1:16" x14ac:dyDescent="0.3">
      <c r="B163" s="119" t="s">
        <v>167</v>
      </c>
      <c r="C163" s="19" t="str">
        <f>Jan!H94</f>
        <v>Pessoal</v>
      </c>
      <c r="D163" s="45">
        <f t="shared" si="3"/>
        <v>0</v>
      </c>
      <c r="E163" s="36">
        <f>Jan!I94</f>
        <v>0</v>
      </c>
      <c r="F163" s="37">
        <f>Fev!I94</f>
        <v>0</v>
      </c>
      <c r="G163" s="37">
        <f>Mar!I94</f>
        <v>0</v>
      </c>
      <c r="H163" s="37">
        <f>Abr!I94</f>
        <v>0</v>
      </c>
      <c r="I163" s="37">
        <f>Mai!I94</f>
        <v>0</v>
      </c>
      <c r="J163" s="37">
        <f>Jun!I94</f>
        <v>0</v>
      </c>
      <c r="K163" s="37">
        <f>Jul!I94</f>
        <v>0</v>
      </c>
      <c r="L163" s="37">
        <f>Ago!I94</f>
        <v>0</v>
      </c>
      <c r="M163" s="37">
        <f>Set!I94</f>
        <v>0</v>
      </c>
      <c r="N163" s="37">
        <f>Out!I94</f>
        <v>0</v>
      </c>
      <c r="O163" s="37">
        <f>Nov!I94</f>
        <v>0</v>
      </c>
      <c r="P163" s="37">
        <f>Dez!I94</f>
        <v>0</v>
      </c>
    </row>
    <row r="164" spans="1:16" x14ac:dyDescent="0.3">
      <c r="B164" s="120"/>
      <c r="C164" s="19" t="str">
        <f>Jan!H95</f>
        <v>Estudante</v>
      </c>
      <c r="D164" s="42">
        <f t="shared" si="3"/>
        <v>0</v>
      </c>
      <c r="E164" s="36">
        <f>Jan!I95</f>
        <v>0</v>
      </c>
      <c r="F164" s="37">
        <f>Fev!I95</f>
        <v>0</v>
      </c>
      <c r="G164" s="37">
        <f>Mar!I95</f>
        <v>0</v>
      </c>
      <c r="H164" s="37">
        <f>Abr!I95</f>
        <v>0</v>
      </c>
      <c r="I164" s="37">
        <f>Mai!I95</f>
        <v>0</v>
      </c>
      <c r="J164" s="37">
        <f>Jun!I95</f>
        <v>0</v>
      </c>
      <c r="K164" s="37">
        <f>Jul!I95</f>
        <v>0</v>
      </c>
      <c r="L164" s="37">
        <f>Ago!I95</f>
        <v>0</v>
      </c>
      <c r="M164" s="37">
        <f>Set!I95</f>
        <v>0</v>
      </c>
      <c r="N164" s="37">
        <f>Out!I95</f>
        <v>0</v>
      </c>
      <c r="O164" s="37">
        <f>Nov!I95</f>
        <v>0</v>
      </c>
      <c r="P164" s="37">
        <f>Dez!I95</f>
        <v>0</v>
      </c>
    </row>
    <row r="165" spans="1:16" x14ac:dyDescent="0.3">
      <c r="B165" s="120"/>
      <c r="C165" s="19" t="str">
        <f>Jan!H96</f>
        <v>Cartão de crédito</v>
      </c>
      <c r="D165" s="42">
        <f t="shared" si="3"/>
        <v>0</v>
      </c>
      <c r="E165" s="36">
        <f>Jan!I96</f>
        <v>0</v>
      </c>
      <c r="F165" s="37">
        <f>Fev!I96</f>
        <v>0</v>
      </c>
      <c r="G165" s="37">
        <f>Mar!I96</f>
        <v>0</v>
      </c>
      <c r="H165" s="37">
        <f>Abr!I96</f>
        <v>0</v>
      </c>
      <c r="I165" s="37">
        <f>Mai!I96</f>
        <v>0</v>
      </c>
      <c r="J165" s="37">
        <f>Jun!I96</f>
        <v>0</v>
      </c>
      <c r="K165" s="37">
        <f>Jul!I96</f>
        <v>0</v>
      </c>
      <c r="L165" s="37">
        <f>Ago!I96</f>
        <v>0</v>
      </c>
      <c r="M165" s="37">
        <f>Set!I96</f>
        <v>0</v>
      </c>
      <c r="N165" s="37">
        <f>Out!I96</f>
        <v>0</v>
      </c>
      <c r="O165" s="37">
        <f>Nov!I96</f>
        <v>0</v>
      </c>
      <c r="P165" s="37">
        <f>Dez!I96</f>
        <v>0</v>
      </c>
    </row>
    <row r="166" spans="1:16" x14ac:dyDescent="0.3">
      <c r="B166" s="120"/>
      <c r="C166" s="19" t="str">
        <f>Jan!H97</f>
        <v>Cartão de crédito</v>
      </c>
      <c r="D166" s="42">
        <f t="shared" si="3"/>
        <v>0</v>
      </c>
      <c r="E166" s="36">
        <f>Jan!I97</f>
        <v>0</v>
      </c>
      <c r="F166" s="37">
        <f>Fev!I97</f>
        <v>0</v>
      </c>
      <c r="G166" s="37">
        <f>Mar!I97</f>
        <v>0</v>
      </c>
      <c r="H166" s="37">
        <f>Abr!I97</f>
        <v>0</v>
      </c>
      <c r="I166" s="37">
        <f>Mai!I97</f>
        <v>0</v>
      </c>
      <c r="J166" s="37">
        <f>Jun!I97</f>
        <v>0</v>
      </c>
      <c r="K166" s="37">
        <f>Jul!I97</f>
        <v>0</v>
      </c>
      <c r="L166" s="37">
        <f>Ago!I97</f>
        <v>0</v>
      </c>
      <c r="M166" s="37">
        <f>Set!I97</f>
        <v>0</v>
      </c>
      <c r="N166" s="37">
        <f>Out!I97</f>
        <v>0</v>
      </c>
      <c r="O166" s="37">
        <f>Nov!I97</f>
        <v>0</v>
      </c>
      <c r="P166" s="37">
        <f>Dez!I97</f>
        <v>0</v>
      </c>
    </row>
    <row r="167" spans="1:16" x14ac:dyDescent="0.3">
      <c r="B167" s="120"/>
      <c r="C167" s="19" t="str">
        <f>Jan!H98</f>
        <v>Cartão de crédito</v>
      </c>
      <c r="D167" s="42">
        <f t="shared" si="3"/>
        <v>0</v>
      </c>
      <c r="E167" s="36">
        <f>Jan!I98</f>
        <v>0</v>
      </c>
      <c r="F167" s="37">
        <f>Fev!I98</f>
        <v>0</v>
      </c>
      <c r="G167" s="37">
        <f>Mar!I98</f>
        <v>0</v>
      </c>
      <c r="H167" s="37">
        <f>Abr!I98</f>
        <v>0</v>
      </c>
      <c r="I167" s="37">
        <f>Mai!I98</f>
        <v>0</v>
      </c>
      <c r="J167" s="37">
        <f>Jun!I98</f>
        <v>0</v>
      </c>
      <c r="K167" s="37">
        <f>Jul!I98</f>
        <v>0</v>
      </c>
      <c r="L167" s="37">
        <f>Ago!I98</f>
        <v>0</v>
      </c>
      <c r="M167" s="37">
        <f>Set!I98</f>
        <v>0</v>
      </c>
      <c r="N167" s="37">
        <f>Out!I98</f>
        <v>0</v>
      </c>
      <c r="O167" s="37">
        <f>Nov!I98</f>
        <v>0</v>
      </c>
      <c r="P167" s="37">
        <f>Dez!I98</f>
        <v>0</v>
      </c>
    </row>
    <row r="168" spans="1:16" x14ac:dyDescent="0.3">
      <c r="B168" s="120"/>
      <c r="C168" s="19" t="str">
        <f>Jan!H99</f>
        <v>Outros</v>
      </c>
      <c r="D168" s="42">
        <f t="shared" si="3"/>
        <v>0</v>
      </c>
      <c r="E168" s="36">
        <f>Jan!I99</f>
        <v>0</v>
      </c>
      <c r="F168" s="37">
        <f>Fev!I99</f>
        <v>0</v>
      </c>
      <c r="G168" s="37">
        <f>Mar!I99</f>
        <v>0</v>
      </c>
      <c r="H168" s="37">
        <f>Abr!I99</f>
        <v>0</v>
      </c>
      <c r="I168" s="37">
        <f>Mai!I99</f>
        <v>0</v>
      </c>
      <c r="J168" s="37">
        <f>Jun!I99</f>
        <v>0</v>
      </c>
      <c r="K168" s="37">
        <f>Jul!I99</f>
        <v>0</v>
      </c>
      <c r="L168" s="37">
        <f>Ago!I99</f>
        <v>0</v>
      </c>
      <c r="M168" s="37">
        <f>Set!I99</f>
        <v>0</v>
      </c>
      <c r="N168" s="37">
        <f>Out!I99</f>
        <v>0</v>
      </c>
      <c r="O168" s="37">
        <f>Nov!I99</f>
        <v>0</v>
      </c>
      <c r="P168" s="37">
        <f>Dez!I99</f>
        <v>0</v>
      </c>
    </row>
    <row r="169" spans="1:16" ht="13.5" thickBot="1" x14ac:dyDescent="0.35">
      <c r="A169" s="40"/>
      <c r="B169" s="121"/>
      <c r="C169" s="43" t="str">
        <f>Jan!H100</f>
        <v>Subtotal</v>
      </c>
      <c r="D169" s="46">
        <f t="shared" si="3"/>
        <v>0</v>
      </c>
      <c r="E169" s="41">
        <f>Jan!I100</f>
        <v>0</v>
      </c>
      <c r="F169" s="28">
        <f>Fev!I100</f>
        <v>0</v>
      </c>
      <c r="G169" s="28">
        <f>Mar!I100</f>
        <v>0</v>
      </c>
      <c r="H169" s="28">
        <f>Abr!I100</f>
        <v>0</v>
      </c>
      <c r="I169" s="28">
        <f>Mai!I100</f>
        <v>0</v>
      </c>
      <c r="J169" s="28">
        <f>Jun!I100</f>
        <v>0</v>
      </c>
      <c r="K169" s="28">
        <f>Jul!I100</f>
        <v>0</v>
      </c>
      <c r="L169" s="28">
        <f>Ago!I100</f>
        <v>0</v>
      </c>
      <c r="M169" s="28">
        <f>Set!I100</f>
        <v>0</v>
      </c>
      <c r="N169" s="28">
        <f>Out!I100</f>
        <v>0</v>
      </c>
      <c r="O169" s="28">
        <f>Nov!I100</f>
        <v>0</v>
      </c>
      <c r="P169" s="28">
        <f>Dez!I100</f>
        <v>0</v>
      </c>
    </row>
    <row r="170" spans="1:16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6" ht="15" customHeight="1" thickBot="1" x14ac:dyDescent="0.35">
      <c r="A171" s="38"/>
      <c r="B171" s="39" t="s">
        <v>169</v>
      </c>
      <c r="C171" s="39" t="s">
        <v>168</v>
      </c>
      <c r="D171" s="39" t="s">
        <v>146</v>
      </c>
      <c r="E171" s="39" t="s">
        <v>150</v>
      </c>
      <c r="F171" s="39" t="s">
        <v>151</v>
      </c>
      <c r="G171" s="39" t="s">
        <v>152</v>
      </c>
      <c r="H171" s="39" t="s">
        <v>153</v>
      </c>
      <c r="I171" s="39" t="s">
        <v>154</v>
      </c>
      <c r="J171" s="39" t="s">
        <v>155</v>
      </c>
      <c r="K171" s="39" t="s">
        <v>156</v>
      </c>
      <c r="L171" s="39" t="s">
        <v>157</v>
      </c>
      <c r="M171" s="39" t="s">
        <v>158</v>
      </c>
      <c r="N171" s="39" t="s">
        <v>159</v>
      </c>
      <c r="O171" s="39" t="s">
        <v>160</v>
      </c>
      <c r="P171" s="39" t="s">
        <v>161</v>
      </c>
    </row>
    <row r="172" spans="1:16" x14ac:dyDescent="0.3">
      <c r="B172" s="119" t="s">
        <v>61</v>
      </c>
      <c r="C172" s="19" t="str">
        <f>Jan!H103</f>
        <v>Federal</v>
      </c>
      <c r="D172" s="45">
        <f t="shared" si="3"/>
        <v>0</v>
      </c>
      <c r="E172" s="36">
        <f>Jan!I103</f>
        <v>0</v>
      </c>
      <c r="F172" s="37">
        <f>Fev!I103</f>
        <v>0</v>
      </c>
      <c r="G172" s="37">
        <f>Mar!I103</f>
        <v>0</v>
      </c>
      <c r="H172" s="37">
        <f>Abr!I103</f>
        <v>0</v>
      </c>
      <c r="I172" s="37">
        <f>Mai!I103</f>
        <v>0</v>
      </c>
      <c r="J172" s="37">
        <f>Jun!I103</f>
        <v>0</v>
      </c>
      <c r="K172" s="37">
        <f>Jul!I103</f>
        <v>0</v>
      </c>
      <c r="L172" s="37">
        <f>Ago!I103</f>
        <v>0</v>
      </c>
      <c r="M172" s="37">
        <f>Set!I103</f>
        <v>0</v>
      </c>
      <c r="N172" s="37">
        <f>Out!I103</f>
        <v>0</v>
      </c>
      <c r="O172" s="37">
        <f>Nov!I103</f>
        <v>0</v>
      </c>
      <c r="P172" s="37">
        <f>Dez!I103</f>
        <v>0</v>
      </c>
    </row>
    <row r="173" spans="1:16" x14ac:dyDescent="0.3">
      <c r="B173" s="120"/>
      <c r="C173" s="19" t="str">
        <f>Jan!H104</f>
        <v>Estadual</v>
      </c>
      <c r="D173" s="42">
        <f t="shared" si="3"/>
        <v>0</v>
      </c>
      <c r="E173" s="31">
        <f>Jan!I104</f>
        <v>0</v>
      </c>
      <c r="F173" s="37">
        <f>Fev!I104</f>
        <v>0</v>
      </c>
      <c r="G173" s="37">
        <f>Mar!I104</f>
        <v>0</v>
      </c>
      <c r="H173" s="37">
        <f>Abr!I104</f>
        <v>0</v>
      </c>
      <c r="I173" s="37">
        <f>Mai!I104</f>
        <v>0</v>
      </c>
      <c r="J173" s="37">
        <f>Jun!I104</f>
        <v>0</v>
      </c>
      <c r="K173" s="37">
        <f>Jul!I104</f>
        <v>0</v>
      </c>
      <c r="L173" s="37">
        <f>Ago!I104</f>
        <v>0</v>
      </c>
      <c r="M173" s="37">
        <f>Set!I104</f>
        <v>0</v>
      </c>
      <c r="N173" s="37">
        <f>Out!I104</f>
        <v>0</v>
      </c>
      <c r="O173" s="37">
        <f>Nov!I104</f>
        <v>0</v>
      </c>
      <c r="P173" s="37">
        <f>Dez!I104</f>
        <v>0</v>
      </c>
    </row>
    <row r="174" spans="1:16" x14ac:dyDescent="0.3">
      <c r="B174" s="120"/>
      <c r="C174" s="19" t="str">
        <f>Jan!H105</f>
        <v>Local</v>
      </c>
      <c r="D174" s="42">
        <f t="shared" si="3"/>
        <v>0</v>
      </c>
      <c r="E174" s="31">
        <f>Jan!I105</f>
        <v>0</v>
      </c>
      <c r="F174" s="37">
        <f>Fev!I105</f>
        <v>0</v>
      </c>
      <c r="G174" s="37">
        <f>Mar!I105</f>
        <v>0</v>
      </c>
      <c r="H174" s="37">
        <f>Abr!I105</f>
        <v>0</v>
      </c>
      <c r="I174" s="37">
        <f>Mai!I105</f>
        <v>0</v>
      </c>
      <c r="J174" s="37">
        <f>Jun!I105</f>
        <v>0</v>
      </c>
      <c r="K174" s="37">
        <f>Jul!I105</f>
        <v>0</v>
      </c>
      <c r="L174" s="37">
        <f>Ago!I105</f>
        <v>0</v>
      </c>
      <c r="M174" s="37">
        <f>Set!I105</f>
        <v>0</v>
      </c>
      <c r="N174" s="37">
        <f>Out!I105</f>
        <v>0</v>
      </c>
      <c r="O174" s="37">
        <f>Nov!I105</f>
        <v>0</v>
      </c>
      <c r="P174" s="37">
        <f>Dez!I105</f>
        <v>0</v>
      </c>
    </row>
    <row r="175" spans="1:16" x14ac:dyDescent="0.3">
      <c r="B175" s="120"/>
      <c r="C175" s="19" t="str">
        <f>Jan!H106</f>
        <v>Outros</v>
      </c>
      <c r="D175" s="42">
        <f t="shared" si="3"/>
        <v>0</v>
      </c>
      <c r="E175" s="31">
        <f>Jan!I106</f>
        <v>0</v>
      </c>
      <c r="F175" s="37">
        <f>Fev!I106</f>
        <v>0</v>
      </c>
      <c r="G175" s="37">
        <f>Mar!I106</f>
        <v>0</v>
      </c>
      <c r="H175" s="37">
        <f>Abr!I106</f>
        <v>0</v>
      </c>
      <c r="I175" s="37">
        <f>Mai!I106</f>
        <v>0</v>
      </c>
      <c r="J175" s="37">
        <f>Jun!I106</f>
        <v>0</v>
      </c>
      <c r="K175" s="37">
        <f>Jul!I106</f>
        <v>0</v>
      </c>
      <c r="L175" s="37">
        <f>Ago!I106</f>
        <v>0</v>
      </c>
      <c r="M175" s="37">
        <f>Set!I106</f>
        <v>0</v>
      </c>
      <c r="N175" s="37">
        <f>Out!I106</f>
        <v>0</v>
      </c>
      <c r="O175" s="37">
        <f>Nov!I106</f>
        <v>0</v>
      </c>
      <c r="P175" s="37">
        <f>Dez!I106</f>
        <v>0</v>
      </c>
    </row>
    <row r="176" spans="1:16" ht="13.5" thickBot="1" x14ac:dyDescent="0.35">
      <c r="A176" s="40"/>
      <c r="B176" s="121"/>
      <c r="C176" s="43" t="str">
        <f>Jan!H107</f>
        <v>Subtotal</v>
      </c>
      <c r="D176" s="46">
        <f t="shared" si="3"/>
        <v>0</v>
      </c>
      <c r="E176" s="41">
        <f>Jan!I107</f>
        <v>0</v>
      </c>
      <c r="F176" s="41">
        <f>Fev!I107</f>
        <v>0</v>
      </c>
      <c r="G176" s="41">
        <f>Mar!I107</f>
        <v>0</v>
      </c>
      <c r="H176" s="41">
        <f>Abr!I107</f>
        <v>0</v>
      </c>
      <c r="I176" s="41">
        <f>Mai!I107</f>
        <v>0</v>
      </c>
      <c r="J176" s="41">
        <f>Jun!I107</f>
        <v>0</v>
      </c>
      <c r="K176" s="41">
        <f>Jul!I107</f>
        <v>0</v>
      </c>
      <c r="L176" s="41">
        <f>Ago!I107</f>
        <v>0</v>
      </c>
      <c r="M176" s="41">
        <f>Set!I107</f>
        <v>0</v>
      </c>
      <c r="N176" s="41">
        <f>Out!I107</f>
        <v>0</v>
      </c>
      <c r="O176" s="41">
        <f>Nov!I107</f>
        <v>0</v>
      </c>
      <c r="P176" s="41">
        <f>Dez!I107</f>
        <v>0</v>
      </c>
    </row>
  </sheetData>
  <sheetProtection algorithmName="SHA-512" hashValue="S5/ElPwo/8IvOcMx2IFcc9ASoON06vpO7Dt+0LUlSaMxcOP1RiluukbT05h5xrXhicXbwt9MbZn7R1O1rpjw+w==" saltValue="q0KrIhFJK6iCH16UjRTfKw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qD5H/eqSs5U7VVz5nC79Ck4RHrXCpbb0VNn5dZm+iuqn8AFqgpam7H2uu/RE0b9McE3cxmi3npHbbIf2J1ihVw==" saltValue="qs5QJpA2vyDw3qNHW4xjuA==" spinCount="100000" sqref="C1:D1 E4:F4 G1:XFD4 E1:F2 A1:A4 B1:B2 B4" name="Intervalo1_3"/>
    <protectedRange algorithmName="SHA-512" hashValue="qD5H/eqSs5U7VVz5nC79Ck4RHrXCpbb0VNn5dZm+iuqn8AFqgpam7H2uu/RE0b9McE3cxmi3npHbbIf2J1ihVw==" saltValue="qs5QJpA2vyDw3qNHW4xjuA==" spinCount="100000" sqref="B3 C4" name="Intervalo1_1_2"/>
  </protectedRanges>
  <mergeCells count="25">
    <mergeCell ref="I1:Q1"/>
    <mergeCell ref="B2:Q2"/>
    <mergeCell ref="B3:Q3"/>
    <mergeCell ref="I4:Q4"/>
    <mergeCell ref="B163:B169"/>
    <mergeCell ref="C45:D46"/>
    <mergeCell ref="E45:E46"/>
    <mergeCell ref="C47:D47"/>
    <mergeCell ref="B41:P42"/>
    <mergeCell ref="B51:P52"/>
    <mergeCell ref="C44:D44"/>
    <mergeCell ref="B45:B46"/>
    <mergeCell ref="B172:B176"/>
    <mergeCell ref="B56:B59"/>
    <mergeCell ref="B62:P63"/>
    <mergeCell ref="B134:B139"/>
    <mergeCell ref="B142:B145"/>
    <mergeCell ref="B148:B152"/>
    <mergeCell ref="B155:B160"/>
    <mergeCell ref="B97:B107"/>
    <mergeCell ref="B110:B124"/>
    <mergeCell ref="B66:B76"/>
    <mergeCell ref="B79:B86"/>
    <mergeCell ref="B89:B94"/>
    <mergeCell ref="B127:B131"/>
  </mergeCells>
  <hyperlinks>
    <hyperlink ref="B3" r:id="rId1" xr:uid="{57AC3E7F-3E01-4EF2-8945-DF88C50F7107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DF48-E71B-41CD-8B65-D982878806A2}">
  <sheetPr>
    <tabColor theme="4"/>
  </sheetPr>
  <dimension ref="A1:N171"/>
  <sheetViews>
    <sheetView showGridLines="0" zoomScale="63" zoomScaleNormal="63" workbookViewId="0">
      <selection activeCell="B3" sqref="B3:N3"/>
    </sheetView>
  </sheetViews>
  <sheetFormatPr defaultRowHeight="13" x14ac:dyDescent="0.3"/>
  <cols>
    <col min="1" max="1" width="2.69921875" customWidth="1"/>
    <col min="2" max="2" width="29.3984375" customWidth="1"/>
    <col min="3" max="3" width="28.09765625" customWidth="1"/>
    <col min="4" max="16" width="20.69921875" customWidth="1"/>
  </cols>
  <sheetData>
    <row r="1" spans="1:14" ht="15" customHeight="1" x14ac:dyDescent="0.35">
      <c r="A1" s="13"/>
      <c r="B1" s="5"/>
      <c r="C1" s="5"/>
      <c r="D1" s="5"/>
      <c r="E1" s="5"/>
      <c r="F1" s="5"/>
      <c r="G1" s="5"/>
      <c r="H1" s="5"/>
      <c r="I1" s="125"/>
      <c r="J1" s="125"/>
      <c r="K1" s="125"/>
      <c r="L1" s="125"/>
      <c r="M1" s="125"/>
      <c r="N1" s="125"/>
    </row>
    <row r="2" spans="1:14" ht="36.5" customHeight="1" x14ac:dyDescent="0.65">
      <c r="A2" s="112" t="s">
        <v>188</v>
      </c>
      <c r="B2" s="126" t="s">
        <v>189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8" customHeight="1" x14ac:dyDescent="0.35">
      <c r="A4" s="13"/>
      <c r="B4" s="5"/>
      <c r="C4" s="109"/>
      <c r="D4" s="111"/>
      <c r="E4" s="5"/>
      <c r="F4" s="5"/>
      <c r="G4" s="5"/>
      <c r="H4" s="5"/>
      <c r="I4" s="125"/>
      <c r="J4" s="125"/>
      <c r="K4" s="125"/>
      <c r="L4" s="125"/>
      <c r="M4" s="125"/>
      <c r="N4" s="125"/>
    </row>
    <row r="6" spans="1:14" ht="13" customHeight="1" x14ac:dyDescent="0.3"/>
    <row r="7" spans="1:14" ht="13" customHeight="1" x14ac:dyDescent="0.3"/>
    <row r="9" spans="1:14" ht="25.5" customHeight="1" x14ac:dyDescent="0.3"/>
    <row r="10" spans="1:14" ht="25.5" customHeight="1" x14ac:dyDescent="0.3"/>
    <row r="11" spans="1:14" ht="25.5" customHeight="1" x14ac:dyDescent="0.3"/>
    <row r="12" spans="1:14" ht="25.5" customHeight="1" x14ac:dyDescent="0.3"/>
    <row r="13" spans="1:14" ht="25.5" customHeight="1" x14ac:dyDescent="0.3"/>
    <row r="14" spans="1:14" ht="25.5" customHeight="1" x14ac:dyDescent="0.3"/>
    <row r="15" spans="1:14" ht="25.5" customHeight="1" x14ac:dyDescent="0.3"/>
    <row r="16" spans="1:14" ht="25.5" customHeight="1" x14ac:dyDescent="0.3"/>
    <row r="17" ht="25.5" customHeight="1" x14ac:dyDescent="0.3"/>
    <row r="18" ht="25.5" customHeight="1" x14ac:dyDescent="0.3"/>
    <row r="19" ht="25.5" customHeight="1" x14ac:dyDescent="0.3"/>
    <row r="20" ht="25.5" customHeight="1" x14ac:dyDescent="0.3"/>
    <row r="21" ht="25.5" customHeight="1" x14ac:dyDescent="0.3"/>
    <row r="22" ht="25.5" customHeight="1" x14ac:dyDescent="0.3"/>
    <row r="23" ht="25.5" customHeight="1" x14ac:dyDescent="0.3"/>
    <row r="24" ht="25.5" customHeight="1" x14ac:dyDescent="0.3"/>
    <row r="25" ht="27" customHeight="1" x14ac:dyDescent="0.3"/>
    <row r="26" ht="16" customHeight="1" x14ac:dyDescent="0.3"/>
    <row r="27" ht="16" customHeight="1" x14ac:dyDescent="0.3"/>
    <row r="28" ht="16" customHeight="1" x14ac:dyDescent="0.3"/>
    <row r="32" ht="13" customHeight="1" x14ac:dyDescent="0.3"/>
    <row r="33" ht="13" customHeight="1" x14ac:dyDescent="0.3"/>
    <row r="34" ht="38" customHeight="1" x14ac:dyDescent="0.3"/>
    <row r="35" ht="13" customHeight="1" x14ac:dyDescent="0.3"/>
    <row r="36" ht="13" customHeight="1" x14ac:dyDescent="0.3"/>
    <row r="37" ht="13" customHeight="1" x14ac:dyDescent="0.3"/>
    <row r="38" ht="13" customHeight="1" x14ac:dyDescent="0.3"/>
    <row r="39" ht="13" customHeight="1" x14ac:dyDescent="0.3"/>
    <row r="40" ht="13" customHeight="1" x14ac:dyDescent="0.3"/>
    <row r="41" ht="13" customHeight="1" x14ac:dyDescent="0.3"/>
    <row r="42" ht="13" customHeight="1" x14ac:dyDescent="0.3"/>
    <row r="43" ht="13" customHeight="1" x14ac:dyDescent="0.3"/>
    <row r="44" ht="13" customHeight="1" x14ac:dyDescent="0.3"/>
    <row r="45" ht="13" customHeight="1" x14ac:dyDescent="0.3"/>
    <row r="46" ht="13" customHeight="1" x14ac:dyDescent="0.3"/>
    <row r="47" ht="13" customHeight="1" x14ac:dyDescent="0.3"/>
    <row r="48" ht="13" customHeight="1" x14ac:dyDescent="0.3"/>
    <row r="49" ht="13" customHeight="1" x14ac:dyDescent="0.3"/>
    <row r="50" ht="13" customHeight="1" x14ac:dyDescent="0.3"/>
    <row r="51" ht="13" customHeight="1" x14ac:dyDescent="0.3"/>
    <row r="52" ht="13" customHeight="1" x14ac:dyDescent="0.3"/>
    <row r="53" ht="13" customHeight="1" x14ac:dyDescent="0.3"/>
    <row r="54" ht="13" customHeight="1" x14ac:dyDescent="0.3"/>
    <row r="55" ht="15" customHeight="1" x14ac:dyDescent="0.3"/>
    <row r="56" ht="13" customHeight="1" x14ac:dyDescent="0.3"/>
    <row r="57" ht="13" customHeight="1" x14ac:dyDescent="0.3"/>
    <row r="58" ht="13" customHeight="1" x14ac:dyDescent="0.3"/>
    <row r="59" ht="13" customHeight="1" x14ac:dyDescent="0.3"/>
    <row r="60" ht="13" customHeight="1" x14ac:dyDescent="0.3"/>
    <row r="61" ht="13" customHeight="1" x14ac:dyDescent="0.3"/>
    <row r="62" ht="13" customHeight="1" x14ac:dyDescent="0.3"/>
    <row r="63" ht="16" customHeight="1" x14ac:dyDescent="0.3"/>
    <row r="64" ht="15" customHeight="1" x14ac:dyDescent="0.3"/>
    <row r="65" ht="19.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6.5" customHeight="1" x14ac:dyDescent="0.3"/>
    <row r="104" ht="15" customHeight="1" x14ac:dyDescent="0.3"/>
    <row r="105" ht="15" customHeight="1" x14ac:dyDescent="0.3"/>
    <row r="106" ht="15" customHeight="1" x14ac:dyDescent="0.3"/>
    <row r="109" ht="15" customHeight="1" x14ac:dyDescent="0.3"/>
    <row r="110" ht="15" customHeight="1" x14ac:dyDescent="0.3"/>
    <row r="111" ht="15" customHeight="1" x14ac:dyDescent="0.3"/>
    <row r="126" ht="15" customHeight="1" x14ac:dyDescent="0.3"/>
    <row r="133" ht="15" customHeight="1" x14ac:dyDescent="0.3"/>
    <row r="141" ht="15" customHeight="1" x14ac:dyDescent="0.3"/>
    <row r="147" ht="15" customHeight="1" x14ac:dyDescent="0.3"/>
    <row r="154" ht="15" customHeight="1" x14ac:dyDescent="0.3"/>
    <row r="162" ht="15" customHeight="1" x14ac:dyDescent="0.3"/>
    <row r="171" ht="15" customHeight="1" x14ac:dyDescent="0.3"/>
  </sheetData>
  <sheetProtection algorithmName="SHA-512" hashValue="jhiF6yDliv3LEbxXHv2nPrT7D3evXPS3zdy//L7EGSUyshfF152QeiNH8J4OIJjnjmMh1xXgkmJnFI3NuTCI5Q==" saltValue="3vfP+G/sOSInZkq6hTETfQ==" spinCount="100000" sheet="1" objects="1" scenarios="1" selectLockedCells="1"/>
  <protectedRanges>
    <protectedRange algorithmName="SHA-512" hashValue="qD5H/eqSs5U7VVz5nC79Ck4RHrXCpbb0VNn5dZm+iuqn8AFqgpam7H2uu/RE0b9McE3cxmi3npHbbIf2J1ihVw==" saltValue="qs5QJpA2vyDw3qNHW4xjuA==" spinCount="100000" sqref="C1:D1 E4:F4 G1:XFD4 E1:F2 A1:A4 B1:B2 B4" name="Intervalo1_3"/>
    <protectedRange algorithmName="SHA-512" hashValue="qD5H/eqSs5U7VVz5nC79Ck4RHrXCpbb0VNn5dZm+iuqn8AFqgpam7H2uu/RE0b9McE3cxmi3npHbbIf2J1ihVw==" saltValue="qs5QJpA2vyDw3qNHW4xjuA==" spinCount="100000" sqref="B3 C4" name="Intervalo1_1_2"/>
  </protectedRanges>
  <mergeCells count="4">
    <mergeCell ref="I1:N1"/>
    <mergeCell ref="B2:N2"/>
    <mergeCell ref="B3:N3"/>
    <mergeCell ref="I4:N4"/>
  </mergeCells>
  <hyperlinks>
    <hyperlink ref="B3" r:id="rId1" xr:uid="{20C8ADBF-F7A6-428A-A20F-B74E5E6E4237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E815-1F6F-44DD-A47C-15969235C392}">
  <sheetPr codeName="Planilha6">
    <tabColor theme="4"/>
    <pageSetUpPr autoPageBreaks="0" fitToPage="1"/>
  </sheetPr>
  <dimension ref="A1:R119"/>
  <sheetViews>
    <sheetView showGridLines="0" zoomScaleNormal="100" workbookViewId="0">
      <selection activeCell="E86" sqref="E86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175</v>
      </c>
      <c r="C6" s="123"/>
      <c r="D6" s="123"/>
      <c r="E6" s="123"/>
      <c r="F6" s="123"/>
      <c r="G6" s="123"/>
      <c r="H6" s="123"/>
      <c r="I6" s="123"/>
    </row>
    <row r="7" spans="1:9" ht="13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11" t="s">
        <v>132</v>
      </c>
      <c r="C9" s="136" t="s">
        <v>145</v>
      </c>
      <c r="D9" s="137"/>
      <c r="E9" s="12">
        <f>E66</f>
        <v>0</v>
      </c>
    </row>
    <row r="10" spans="1:9" ht="25.5" customHeight="1" x14ac:dyDescent="0.3">
      <c r="B10" s="138" t="s">
        <v>131</v>
      </c>
      <c r="C10" s="128" t="s">
        <v>144</v>
      </c>
      <c r="D10" s="129"/>
      <c r="E10" s="132">
        <f>SUM(E13:E24)</f>
        <v>0</v>
      </c>
    </row>
    <row r="11" spans="1:9" ht="25.5" customHeight="1" x14ac:dyDescent="0.3">
      <c r="B11" s="133"/>
      <c r="C11" s="130"/>
      <c r="D11" s="131"/>
      <c r="E11" s="133"/>
    </row>
    <row r="12" spans="1:9" ht="25.5" hidden="1" customHeight="1" outlineLevel="1" x14ac:dyDescent="0.3">
      <c r="B12" s="10"/>
      <c r="C12" s="128" t="s">
        <v>143</v>
      </c>
      <c r="D12" s="129"/>
      <c r="E12" s="10" t="s">
        <v>24</v>
      </c>
    </row>
    <row r="13" spans="1:9" ht="25.5" hidden="1" customHeight="1" outlineLevel="1" x14ac:dyDescent="0.3">
      <c r="B13" s="8"/>
      <c r="C13" s="147" t="s">
        <v>133</v>
      </c>
      <c r="D13" s="148"/>
      <c r="E13" s="9">
        <f>Moradia415467[[#Totals],[Custo ]]</f>
        <v>0</v>
      </c>
    </row>
    <row r="14" spans="1:9" ht="25.5" hidden="1" customHeight="1" outlineLevel="1" x14ac:dyDescent="0.3">
      <c r="B14" s="8"/>
      <c r="C14" s="147" t="s">
        <v>134</v>
      </c>
      <c r="D14" s="148"/>
      <c r="E14" s="9">
        <f>Transporte445770[[#Totals],[Custo ]]</f>
        <v>0</v>
      </c>
    </row>
    <row r="15" spans="1:9" ht="25.5" hidden="1" customHeight="1" outlineLevel="1" x14ac:dyDescent="0.3">
      <c r="B15" s="8"/>
      <c r="C15" s="147" t="s">
        <v>40</v>
      </c>
      <c r="D15" s="148"/>
      <c r="E15" s="9">
        <f>Alimentação486174[[#Totals],[Custo ]]</f>
        <v>0</v>
      </c>
    </row>
    <row r="16" spans="1:9" ht="25.5" hidden="1" customHeight="1" outlineLevel="1" x14ac:dyDescent="0.3">
      <c r="B16" s="8"/>
      <c r="C16" s="147" t="s">
        <v>135</v>
      </c>
      <c r="D16" s="148"/>
      <c r="E16" s="9">
        <f>SUM(Entretenimento425568[[Custo ]])</f>
        <v>0</v>
      </c>
    </row>
    <row r="17" spans="1:9" ht="25.5" hidden="1" customHeight="1" outlineLevel="1" x14ac:dyDescent="0.3">
      <c r="B17" s="8"/>
      <c r="C17" s="147" t="s">
        <v>142</v>
      </c>
      <c r="D17" s="148"/>
      <c r="E17" s="9">
        <f>SUM(CuidadosPessoais526578241[[Custo ]])</f>
        <v>0</v>
      </c>
    </row>
    <row r="18" spans="1:9" ht="25.5" hidden="1" customHeight="1" outlineLevel="1" x14ac:dyDescent="0.3">
      <c r="B18" s="8"/>
      <c r="C18" s="147" t="s">
        <v>28</v>
      </c>
      <c r="D18" s="148"/>
      <c r="E18" s="9">
        <f>Seguro455871[[#Totals],[Custo ]]</f>
        <v>0</v>
      </c>
    </row>
    <row r="19" spans="1:9" ht="25.5" hidden="1" customHeight="1" outlineLevel="1" x14ac:dyDescent="0.3">
      <c r="B19" s="8"/>
      <c r="C19" s="147" t="s">
        <v>136</v>
      </c>
      <c r="D19" s="148"/>
      <c r="E19" s="9">
        <f>SUM(Empréstimos435669[[Custo ]])</f>
        <v>0</v>
      </c>
    </row>
    <row r="20" spans="1:9" ht="25.5" hidden="1" customHeight="1" outlineLevel="1" x14ac:dyDescent="0.3">
      <c r="B20" s="8"/>
      <c r="C20" s="147" t="s">
        <v>137</v>
      </c>
      <c r="D20" s="148"/>
      <c r="E20" s="9">
        <f>SUM(Impostos465972[[Custo ]])</f>
        <v>0</v>
      </c>
    </row>
    <row r="21" spans="1:9" ht="25.5" hidden="1" customHeight="1" outlineLevel="1" x14ac:dyDescent="0.3">
      <c r="B21" s="8"/>
      <c r="C21" s="147" t="s">
        <v>138</v>
      </c>
      <c r="D21" s="148"/>
      <c r="E21" s="9">
        <f>SUM(Poupança476073236[[Custo ]])</f>
        <v>0</v>
      </c>
    </row>
    <row r="22" spans="1:9" ht="25.5" hidden="1" customHeight="1" outlineLevel="1" x14ac:dyDescent="0.3">
      <c r="B22" s="8"/>
      <c r="C22" s="147" t="s">
        <v>139</v>
      </c>
      <c r="D22" s="148"/>
      <c r="E22" s="9">
        <f>Presentes496275[[#Totals],[Custo ]]</f>
        <v>0</v>
      </c>
    </row>
    <row r="23" spans="1:9" ht="25.5" hidden="1" customHeight="1" outlineLevel="1" x14ac:dyDescent="0.3">
      <c r="B23" s="8"/>
      <c r="C23" s="147" t="s">
        <v>140</v>
      </c>
      <c r="D23" s="148"/>
      <c r="E23" s="9">
        <f>Assessoria_jurídica516477[[#Totals],[Custo ]]</f>
        <v>0</v>
      </c>
    </row>
    <row r="24" spans="1:9" ht="25.5" hidden="1" customHeight="1" outlineLevel="1" x14ac:dyDescent="0.3">
      <c r="B24" s="8"/>
      <c r="C24" s="147" t="s">
        <v>141</v>
      </c>
      <c r="D24" s="148"/>
      <c r="E24" s="9">
        <f>Animais_de_estimação506376[[#Totals],[Custo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x14ac:dyDescent="0.3">
      <c r="B29" s="123" t="s">
        <v>147</v>
      </c>
      <c r="C29" s="123"/>
      <c r="D29" s="123"/>
      <c r="E29" s="123"/>
      <c r="F29" s="123"/>
      <c r="G29" s="123"/>
      <c r="H29" s="123"/>
      <c r="I29" s="123"/>
    </row>
    <row r="30" spans="1:9" x14ac:dyDescent="0.3">
      <c r="B30" s="123"/>
      <c r="C30" s="123"/>
      <c r="D30" s="123"/>
      <c r="E30" s="123"/>
      <c r="F30" s="123"/>
      <c r="G30" s="123"/>
      <c r="H30" s="123"/>
      <c r="I30" s="123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106" t="s">
        <v>119</v>
      </c>
      <c r="D32" s="107"/>
      <c r="E32" s="108">
        <f>SUM(Tabela13536679[Total/mês])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SUM(Tabela13536679[[#This Row],[Valor cobrado por sessão]]*Tabela13536679[[#This Row],[Número sessão/mês]])</f>
        <v>0</v>
      </c>
      <c r="G35" s="60"/>
      <c r="H35" s="61"/>
      <c r="I35" s="62">
        <v>44931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SUM(Tabela13536679[[#This Row],[Valor cobrado por sessão]]*Tabela13536679[[#This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SUM(Tabela13536679[[#This Row],[Valor cobrado por sessão]]*Tabela13536679[[#This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SUM(Tabela13536679[[#This Row],[Valor cobrado por sessão]]*Tabela13536679[[#This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SUM(Tabela13536679[[#This Row],[Valor cobrado por sessão]]*Tabela13536679[[#This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SUM(Tabela13536679[[#This Row],[Valor cobrado por sessão]]*Tabela13536679[[#This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SUM(Tabela13536679[[#This Row],[Valor cobrado por sessão]]*Tabela13536679[[#This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SUM(Tabela13536679[[#This Row],[Valor cobrado por sessão]]*Tabela13536679[[#This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SUM(Tabela13536679[[#This Row],[Valor cobrado por sessão]]*Tabela13536679[[#This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SUM(Tabela13536679[[#This Row],[Valor cobrado por sessão]]*Tabela13536679[[#This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SUM(Tabela13536679[[#This Row],[Valor cobrado por sessão]]*Tabela13536679[[#This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SUM(Tabela13536679[[#This Row],[Valor cobrado por sessão]]*Tabela13536679[[#This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SUM(Tabela13536679[[#This Row],[Valor cobrado por sessão]]*Tabela13536679[[#This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SUM(Tabela13536679[[#This Row],[Valor cobrado por sessão]]*Tabela13536679[[#This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SUM(Tabela13536679[[#This Row],[Valor cobrado por sessão]]*Tabela13536679[[#This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SUM(Tabela13536679[[#This Row],[Valor cobrado por sessão]]*Tabela13536679[[#This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SUM(Tabela13536679[[#This Row],[Valor cobrado por sessão]]*Tabela13536679[[#This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SUM(Tabela13536679[[#This Row],[Valor cobrado por sessão]]*Tabela13536679[[#This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SUM(Tabela13536679[[#This Row],[Valor cobrado por sessão]]*Tabela13536679[[#This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SUM(Tabela13536679[[#This Row],[Valor cobrado por sessão]]*Tabela13536679[[#This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SUM(Tabela13536679[[#This Row],[Valor cobrado por sessão]]*Tabela13536679[[#This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SUM(Tabela13536679[[#This Row],[Valor cobrado por sessão]]*Tabela13536679[[#This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SUM(Tabela13536679[[#This Row],[Valor cobrado por sessão]]*Tabela13536679[[#This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SUM(Tabela13536679[[#This Row],[Valor cobrado por sessão]]*Tabela13536679[[#This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SUM(Tabela13536679[[#This Row],[Valor cobrado por sessão]]*Tabela13536679[[#This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SUM(Tabela13536679[[#This Row],[Valor cobrado por sessão]]*Tabela13536679[[#This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SUM(Tabela13536679[[#This Row],[Valor cobrado por sessão]]*Tabela13536679[[#This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SUM(Tabela13536679[[#This Row],[Valor cobrado por sessão]]*Tabela13536679[[#This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SUM(Tabela13536679[[#This Row],[Valor cobrado por sessão]]*Tabela13536679[[#This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104"/>
      <c r="E66" s="105">
        <f>SUM(E32:E65)</f>
        <v>0</v>
      </c>
    </row>
    <row r="67" spans="1:9" x14ac:dyDescent="0.3">
      <c r="B67" s="1"/>
      <c r="C67" s="1"/>
      <c r="D67" s="1"/>
      <c r="E67" s="1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94" customFormat="1" ht="16" customHeight="1" x14ac:dyDescent="0.25">
      <c r="A71" s="93"/>
    </row>
    <row r="72" spans="1:9" s="92" customFormat="1" ht="15" customHeight="1" x14ac:dyDescent="0.25">
      <c r="A72" s="90" t="s">
        <v>6</v>
      </c>
      <c r="B72" s="91" t="s">
        <v>14</v>
      </c>
      <c r="C72" s="91" t="s">
        <v>123</v>
      </c>
      <c r="E72" s="91" t="s">
        <v>50</v>
      </c>
      <c r="F72" s="91" t="s">
        <v>123</v>
      </c>
      <c r="H72" s="91" t="s">
        <v>68</v>
      </c>
      <c r="I72" s="91" t="s">
        <v>123</v>
      </c>
    </row>
    <row r="73" spans="1:9" s="94" customFormat="1" ht="15" customHeight="1" x14ac:dyDescent="0.25">
      <c r="A73" s="93"/>
      <c r="B73" s="94" t="s">
        <v>130</v>
      </c>
      <c r="C73" s="95"/>
      <c r="E73" s="94" t="s">
        <v>51</v>
      </c>
      <c r="F73" s="96"/>
      <c r="H73" s="94" t="s">
        <v>69</v>
      </c>
      <c r="I73" s="95"/>
    </row>
    <row r="74" spans="1:9" s="94" customFormat="1" ht="15" customHeight="1" x14ac:dyDescent="0.25">
      <c r="A74" s="93"/>
      <c r="B74" s="94" t="s">
        <v>15</v>
      </c>
      <c r="C74" s="95"/>
      <c r="E74" s="94" t="s">
        <v>52</v>
      </c>
      <c r="F74" s="96"/>
      <c r="H74" s="94" t="s">
        <v>70</v>
      </c>
      <c r="I74" s="95"/>
    </row>
    <row r="75" spans="1:9" s="94" customFormat="1" ht="15" customHeight="1" x14ac:dyDescent="0.25">
      <c r="A75" s="93"/>
      <c r="B75" s="94" t="s">
        <v>16</v>
      </c>
      <c r="C75" s="95"/>
      <c r="E75" s="94" t="s">
        <v>53</v>
      </c>
      <c r="F75" s="96"/>
      <c r="H75" s="94" t="s">
        <v>71</v>
      </c>
      <c r="I75" s="95"/>
    </row>
    <row r="76" spans="1:9" s="94" customFormat="1" ht="15" customHeight="1" x14ac:dyDescent="0.25">
      <c r="A76" s="93"/>
      <c r="B76" s="94" t="s">
        <v>17</v>
      </c>
      <c r="C76" s="95"/>
      <c r="E76" s="94" t="s">
        <v>54</v>
      </c>
      <c r="F76" s="96"/>
      <c r="H76" s="94" t="s">
        <v>24</v>
      </c>
      <c r="I76" s="95">
        <f>SUM(Presentes496275[[Custo ]])</f>
        <v>0</v>
      </c>
    </row>
    <row r="77" spans="1:9" s="94" customFormat="1" ht="15" customHeight="1" x14ac:dyDescent="0.25">
      <c r="A77" s="93"/>
      <c r="B77" s="94" t="s">
        <v>18</v>
      </c>
      <c r="C77" s="95"/>
      <c r="E77" s="94" t="s">
        <v>55</v>
      </c>
      <c r="F77" s="96"/>
      <c r="I77" s="95"/>
    </row>
    <row r="78" spans="1:9" s="94" customFormat="1" ht="15" customHeight="1" x14ac:dyDescent="0.25">
      <c r="A78" s="93"/>
      <c r="B78" s="94" t="s">
        <v>19</v>
      </c>
      <c r="C78" s="95"/>
      <c r="E78" s="94" t="s">
        <v>56</v>
      </c>
      <c r="F78" s="96"/>
      <c r="H78" s="91" t="s">
        <v>72</v>
      </c>
      <c r="I78" s="91" t="s">
        <v>123</v>
      </c>
    </row>
    <row r="79" spans="1:9" s="94" customFormat="1" ht="15" customHeight="1" x14ac:dyDescent="0.25">
      <c r="A79" s="93"/>
      <c r="B79" s="94" t="s">
        <v>20</v>
      </c>
      <c r="C79" s="95"/>
      <c r="E79" s="94" t="s">
        <v>23</v>
      </c>
      <c r="F79" s="96"/>
      <c r="H79" s="94" t="s">
        <v>73</v>
      </c>
      <c r="I79" s="95"/>
    </row>
    <row r="80" spans="1:9" s="94" customFormat="1" ht="15" customHeight="1" x14ac:dyDescent="0.25">
      <c r="A80" s="93"/>
      <c r="B80" s="94" t="s">
        <v>21</v>
      </c>
      <c r="C80" s="95"/>
      <c r="E80" s="94" t="s">
        <v>23</v>
      </c>
      <c r="F80" s="96"/>
      <c r="H80" s="94" t="s">
        <v>74</v>
      </c>
      <c r="I80" s="95"/>
    </row>
    <row r="81" spans="1:9" s="94" customFormat="1" ht="15" customHeight="1" x14ac:dyDescent="0.25">
      <c r="A81" s="93"/>
      <c r="B81" s="94" t="s">
        <v>22</v>
      </c>
      <c r="C81" s="95"/>
      <c r="E81" s="94" t="s">
        <v>23</v>
      </c>
      <c r="F81" s="96"/>
      <c r="H81" s="94" t="s">
        <v>75</v>
      </c>
      <c r="I81" s="95"/>
    </row>
    <row r="82" spans="1:9" s="94" customFormat="1" ht="15" customHeight="1" x14ac:dyDescent="0.25">
      <c r="A82" s="93"/>
      <c r="B82" s="94" t="s">
        <v>23</v>
      </c>
      <c r="C82" s="95"/>
      <c r="E82" s="94" t="s">
        <v>23</v>
      </c>
      <c r="F82" s="96"/>
      <c r="H82" s="94" t="s">
        <v>23</v>
      </c>
      <c r="I82" s="95"/>
    </row>
    <row r="83" spans="1:9" s="94" customFormat="1" ht="15" customHeight="1" x14ac:dyDescent="0.25">
      <c r="A83" s="93"/>
      <c r="B83" s="94" t="s">
        <v>24</v>
      </c>
      <c r="C83" s="95">
        <f>SUM(Moradia415467[[Custo ]])</f>
        <v>0</v>
      </c>
      <c r="E83" s="94" t="s">
        <v>24</v>
      </c>
      <c r="F83" s="96">
        <f>SUM(Entretenimento425568[[Custo ]])</f>
        <v>0</v>
      </c>
      <c r="H83" s="94" t="s">
        <v>24</v>
      </c>
      <c r="I83" s="95">
        <f>SUM(Assessoria_jurídica516477[[Custo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91" t="s">
        <v>25</v>
      </c>
      <c r="C85" s="91" t="s">
        <v>123</v>
      </c>
      <c r="E85" s="91" t="s">
        <v>44</v>
      </c>
      <c r="F85" s="91" t="s">
        <v>123</v>
      </c>
      <c r="H85" s="91" t="s">
        <v>39</v>
      </c>
      <c r="I85" s="91" t="s">
        <v>123</v>
      </c>
    </row>
    <row r="86" spans="1:9" s="94" customFormat="1" ht="15" customHeight="1" x14ac:dyDescent="0.25">
      <c r="A86" s="93"/>
      <c r="B86" s="94" t="s">
        <v>26</v>
      </c>
      <c r="C86" s="95"/>
      <c r="E86" s="94" t="s">
        <v>41</v>
      </c>
      <c r="F86" s="95"/>
      <c r="H86" s="94" t="s">
        <v>40</v>
      </c>
      <c r="I86" s="95"/>
    </row>
    <row r="87" spans="1:9" s="94" customFormat="1" ht="15" customHeight="1" x14ac:dyDescent="0.25">
      <c r="A87" s="93"/>
      <c r="B87" s="94" t="s">
        <v>27</v>
      </c>
      <c r="C87" s="95"/>
      <c r="E87" s="94" t="s">
        <v>45</v>
      </c>
      <c r="F87" s="95"/>
      <c r="H87" s="94" t="s">
        <v>41</v>
      </c>
      <c r="I87" s="95"/>
    </row>
    <row r="88" spans="1:9" s="94" customFormat="1" ht="15" customHeight="1" x14ac:dyDescent="0.25">
      <c r="A88" s="93"/>
      <c r="B88" s="94" t="s">
        <v>28</v>
      </c>
      <c r="C88" s="95"/>
      <c r="E88" s="94" t="s">
        <v>46</v>
      </c>
      <c r="F88" s="95"/>
      <c r="H88" s="94" t="s">
        <v>42</v>
      </c>
      <c r="I88" s="95"/>
    </row>
    <row r="89" spans="1:9" s="94" customFormat="1" ht="15" customHeight="1" x14ac:dyDescent="0.25">
      <c r="A89" s="93"/>
      <c r="B89" s="94" t="s">
        <v>29</v>
      </c>
      <c r="C89" s="95"/>
      <c r="E89" s="94" t="s">
        <v>124</v>
      </c>
      <c r="F89" s="95"/>
      <c r="H89" s="94" t="s">
        <v>43</v>
      </c>
      <c r="I89" s="95"/>
    </row>
    <row r="90" spans="1:9" s="94" customFormat="1" ht="15" customHeight="1" x14ac:dyDescent="0.25">
      <c r="A90" s="93"/>
      <c r="B90" s="94" t="s">
        <v>30</v>
      </c>
      <c r="C90" s="95"/>
      <c r="E90" s="94" t="s">
        <v>47</v>
      </c>
      <c r="F90" s="95"/>
      <c r="H90" s="94" t="s">
        <v>23</v>
      </c>
      <c r="I90" s="95"/>
    </row>
    <row r="91" spans="1:9" s="94" customFormat="1" ht="15" customHeight="1" x14ac:dyDescent="0.25">
      <c r="A91" s="93"/>
      <c r="B91" s="94" t="s">
        <v>31</v>
      </c>
      <c r="C91" s="95"/>
      <c r="E91" s="94" t="s">
        <v>125</v>
      </c>
      <c r="F91" s="95"/>
      <c r="H91" s="94" t="s">
        <v>24</v>
      </c>
      <c r="I91" s="95">
        <f>SUM(Animais_de_estimação506376[[Custo ]])</f>
        <v>0</v>
      </c>
    </row>
    <row r="92" spans="1:9" s="94" customFormat="1" ht="15" customHeight="1" x14ac:dyDescent="0.25">
      <c r="A92" s="93"/>
      <c r="B92" s="94" t="s">
        <v>23</v>
      </c>
      <c r="C92" s="95"/>
      <c r="E92" s="94" t="s">
        <v>23</v>
      </c>
      <c r="F92" s="95"/>
      <c r="I92" s="95"/>
    </row>
    <row r="93" spans="1:9" s="94" customFormat="1" ht="15" customHeight="1" x14ac:dyDescent="0.25">
      <c r="A93" s="93"/>
      <c r="B93" s="94" t="s">
        <v>24</v>
      </c>
      <c r="C93" s="95">
        <f>SUM(Transporte445770[[Custo ]])</f>
        <v>0</v>
      </c>
      <c r="E93" s="94" t="s">
        <v>23</v>
      </c>
      <c r="F93" s="95"/>
      <c r="H93" s="91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94" t="s">
        <v>23</v>
      </c>
      <c r="F94" s="95"/>
      <c r="H94" s="94" t="s">
        <v>58</v>
      </c>
      <c r="I94" s="96"/>
    </row>
    <row r="95" spans="1:9" s="92" customFormat="1" ht="15" customHeight="1" x14ac:dyDescent="0.25">
      <c r="A95" s="90" t="s">
        <v>8</v>
      </c>
      <c r="B95" s="91" t="s">
        <v>32</v>
      </c>
      <c r="C95" s="91" t="s">
        <v>123</v>
      </c>
      <c r="E95" s="94" t="s">
        <v>23</v>
      </c>
      <c r="F95" s="95"/>
      <c r="H95" s="94" t="s">
        <v>59</v>
      </c>
      <c r="I95" s="96"/>
    </row>
    <row r="96" spans="1:9" s="94" customFormat="1" ht="15" customHeight="1" x14ac:dyDescent="0.25">
      <c r="A96" s="93"/>
      <c r="B96" s="94" t="s">
        <v>33</v>
      </c>
      <c r="C96" s="95"/>
      <c r="E96" s="94" t="s">
        <v>23</v>
      </c>
      <c r="F96" s="95"/>
      <c r="H96" s="94" t="s">
        <v>60</v>
      </c>
      <c r="I96" s="96"/>
    </row>
    <row r="97" spans="1:9" s="94" customFormat="1" ht="15" customHeight="1" x14ac:dyDescent="0.25">
      <c r="A97" s="93"/>
      <c r="B97" s="94" t="s">
        <v>34</v>
      </c>
      <c r="C97" s="95"/>
      <c r="E97" s="94" t="s">
        <v>23</v>
      </c>
      <c r="F97" s="95"/>
      <c r="H97" s="94" t="s">
        <v>60</v>
      </c>
      <c r="I97" s="96"/>
    </row>
    <row r="98" spans="1:9" s="94" customFormat="1" ht="15" customHeight="1" x14ac:dyDescent="0.25">
      <c r="A98" s="93"/>
      <c r="B98" s="94" t="s">
        <v>35</v>
      </c>
      <c r="C98" s="95"/>
      <c r="E98" s="94" t="s">
        <v>23</v>
      </c>
      <c r="F98" s="95"/>
      <c r="H98" s="94" t="s">
        <v>60</v>
      </c>
      <c r="I98" s="96"/>
    </row>
    <row r="99" spans="1:9" s="94" customFormat="1" ht="15" customHeight="1" x14ac:dyDescent="0.25">
      <c r="A99" s="93"/>
      <c r="B99" s="94" t="s">
        <v>23</v>
      </c>
      <c r="C99" s="95"/>
      <c r="E99" s="94" t="s">
        <v>23</v>
      </c>
      <c r="F99" s="95"/>
      <c r="H99" s="94" t="s">
        <v>23</v>
      </c>
      <c r="I99" s="96"/>
    </row>
    <row r="100" spans="1:9" s="94" customFormat="1" ht="15" customHeight="1" x14ac:dyDescent="0.25">
      <c r="A100" s="93"/>
      <c r="B100" s="94" t="s">
        <v>24</v>
      </c>
      <c r="C100" s="95">
        <f>SUM(Seguro455871[[Custo ]])</f>
        <v>0</v>
      </c>
      <c r="E100" s="94" t="s">
        <v>24</v>
      </c>
      <c r="F100" s="95">
        <f>SUM(CuidadosPessoais526578241[[Custo ]])</f>
        <v>0</v>
      </c>
      <c r="H100" s="94" t="s">
        <v>24</v>
      </c>
      <c r="I100" s="96">
        <f>SUM(Empréstimos435669[[Custo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91" t="s">
        <v>36</v>
      </c>
      <c r="C102" s="91" t="s">
        <v>123</v>
      </c>
      <c r="E102" s="97" t="s">
        <v>65</v>
      </c>
      <c r="F102" s="98" t="s">
        <v>123</v>
      </c>
      <c r="H102" s="91" t="s">
        <v>61</v>
      </c>
      <c r="I102" s="91" t="s">
        <v>123</v>
      </c>
    </row>
    <row r="103" spans="1:9" s="94" customFormat="1" ht="15.5" customHeight="1" x14ac:dyDescent="0.25">
      <c r="A103" s="93"/>
      <c r="B103" s="94" t="s">
        <v>37</v>
      </c>
      <c r="C103" s="95"/>
      <c r="E103" s="94" t="s">
        <v>66</v>
      </c>
      <c r="F103" s="96"/>
      <c r="H103" s="94" t="s">
        <v>62</v>
      </c>
      <c r="I103" s="96"/>
    </row>
    <row r="104" spans="1:9" s="94" customFormat="1" ht="15" customHeight="1" x14ac:dyDescent="0.25">
      <c r="A104" s="93"/>
      <c r="B104" s="94" t="s">
        <v>162</v>
      </c>
      <c r="C104" s="95"/>
      <c r="E104" s="94" t="s">
        <v>67</v>
      </c>
      <c r="F104" s="96"/>
      <c r="H104" s="94" t="s">
        <v>63</v>
      </c>
      <c r="I104" s="96"/>
    </row>
    <row r="105" spans="1:9" s="94" customFormat="1" ht="15" customHeight="1" x14ac:dyDescent="0.25">
      <c r="A105" s="93"/>
      <c r="B105" s="94" t="s">
        <v>38</v>
      </c>
      <c r="C105" s="95"/>
      <c r="E105" s="94" t="s">
        <v>23</v>
      </c>
      <c r="F105" s="96"/>
      <c r="H105" s="94" t="s">
        <v>64</v>
      </c>
      <c r="I105" s="96"/>
    </row>
    <row r="106" spans="1:9" s="94" customFormat="1" ht="15" customHeight="1" x14ac:dyDescent="0.25">
      <c r="A106" s="93"/>
      <c r="B106" s="94" t="s">
        <v>163</v>
      </c>
      <c r="C106" s="95"/>
      <c r="E106" s="94" t="s">
        <v>23</v>
      </c>
      <c r="F106" s="96"/>
      <c r="H106" s="94" t="s">
        <v>23</v>
      </c>
      <c r="I106" s="96"/>
    </row>
    <row r="107" spans="1:9" s="48" customFormat="1" x14ac:dyDescent="0.3">
      <c r="A107" s="47"/>
      <c r="B107" s="94" t="s">
        <v>23</v>
      </c>
      <c r="C107" s="95"/>
      <c r="D107" s="49"/>
      <c r="E107" s="94" t="s">
        <v>23</v>
      </c>
      <c r="F107" s="96"/>
      <c r="G107" s="49"/>
      <c r="H107" s="94" t="s">
        <v>24</v>
      </c>
      <c r="I107" s="96">
        <f>SUM(Impostos465972[[Custo ]])</f>
        <v>0</v>
      </c>
    </row>
    <row r="108" spans="1:9" s="48" customFormat="1" x14ac:dyDescent="0.3">
      <c r="A108" s="47" t="s">
        <v>10</v>
      </c>
      <c r="B108" s="94" t="s">
        <v>24</v>
      </c>
      <c r="C108" s="95">
        <f>SUM(Alimentação486174[[Custo ]])</f>
        <v>0</v>
      </c>
      <c r="E108" s="94" t="s">
        <v>24</v>
      </c>
      <c r="F108" s="96">
        <f>SUM(Poupança476073236[[Custo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1CgSmsQLBPqRI+yAPZweCHc7TgXAb3hqEoar3/gd4hTgn0Q04UGDJIMZKxY7ha9bcoh2mw3tJldBFyqn5E5QaQ==" saltValue="IGUN9sLMmx/rtUKlFhN5dQ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qD5H/eqSs5U7VVz5nC79Ck4RHrXCpbb0VNn5dZm+iuqn8AFqgpam7H2uu/RE0b9McE3cxmi3npHbbIf2J1ihVw==" saltValue="qs5QJpA2vyDw3qNHW4xjuA==" spinCount="100000" sqref="A5:XFD28" name="Intervalo1"/>
    <protectedRange algorithmName="SHA-512" hashValue="qD5H/eqSs5U7VVz5nC79Ck4RHrXCpbb0VNn5dZm+iuqn8AFqgpam7H2uu/RE0b9McE3cxmi3npHbbIf2J1ihVw==" saltValue="qs5QJpA2vyDw3qNHW4xjuA==" spinCount="100000" sqref="C1:D1 E4:F4 G1:XFD4 E1:F2 A1:A4 B1:B2 B4" name="Intervalo1_3"/>
    <protectedRange algorithmName="SHA-512" hashValue="qD5H/eqSs5U7VVz5nC79Ck4RHrXCpbb0VNn5dZm+iuqn8AFqgpam7H2uu/RE0b9McE3cxmi3npHbbIf2J1ihVw==" saltValue="qs5QJpA2vyDw3qNHW4xjuA==" spinCount="100000" sqref="B3 C4" name="Intervalo1_1_2"/>
  </protectedRanges>
  <dataConsolidate>
    <dataRefs count="1">
      <dataRef ref="B6" sheet="Jan" r:id="rId1"/>
    </dataRefs>
  </dataConsolidate>
  <mergeCells count="28">
    <mergeCell ref="A6:A7"/>
    <mergeCell ref="B2:I2"/>
    <mergeCell ref="B3:I3"/>
    <mergeCell ref="C12:D12"/>
    <mergeCell ref="B6:I7"/>
    <mergeCell ref="C9:D9"/>
    <mergeCell ref="B10:B11"/>
    <mergeCell ref="C10:D11"/>
    <mergeCell ref="E10:E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69:I70"/>
    <mergeCell ref="C25:D25"/>
    <mergeCell ref="B29:I30"/>
    <mergeCell ref="B32:B66"/>
    <mergeCell ref="C33:D33"/>
    <mergeCell ref="I33:R33"/>
    <mergeCell ref="C64:D64"/>
  </mergeCells>
  <dataValidations count="1">
    <dataValidation type="list" allowBlank="1" showInputMessage="1" showErrorMessage="1" sqref="R35:R64 P35:P64 N35:N64 L35:L64 J35:J64" xr:uid="{82A91D3B-33D5-431A-91D0-E4D061777409}">
      <formula1>$J$35:$J$36</formula1>
    </dataValidation>
  </dataValidations>
  <hyperlinks>
    <hyperlink ref="B3" r:id="rId2" xr:uid="{27F2D5A1-76DD-4D1C-A0E5-33938C9845DE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61FB-3FA1-4D2B-B8D5-2E5F02BEA2A6}">
  <sheetPr>
    <tabColor theme="4"/>
    <pageSetUpPr autoPageBreaks="0" fitToPage="1"/>
  </sheetPr>
  <dimension ref="A1:S119"/>
  <sheetViews>
    <sheetView showGridLines="0" zoomScaleNormal="100" workbookViewId="0">
      <selection activeCell="F94" sqref="F94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1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1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1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1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19" s="13" customFormat="1" ht="14.5" x14ac:dyDescent="0.35"/>
    <row r="6" spans="1:19" ht="13" customHeight="1" x14ac:dyDescent="0.3">
      <c r="A6" s="149"/>
      <c r="B6" s="123" t="s">
        <v>177</v>
      </c>
      <c r="C6" s="123"/>
      <c r="D6" s="123"/>
      <c r="E6" s="123"/>
      <c r="F6" s="123"/>
      <c r="G6" s="123"/>
      <c r="H6" s="123"/>
      <c r="I6" s="123"/>
    </row>
    <row r="7" spans="1:19" ht="13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19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1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19" ht="25.5" customHeight="1" x14ac:dyDescent="0.3">
      <c r="B11" s="151"/>
      <c r="C11" s="159"/>
      <c r="D11" s="160"/>
      <c r="E11" s="151"/>
    </row>
    <row r="12" spans="1:19" ht="25.5" hidden="1" customHeight="1" outlineLevel="1" x14ac:dyDescent="0.3">
      <c r="B12" s="89"/>
      <c r="C12" s="154" t="s">
        <v>143</v>
      </c>
      <c r="D12" s="155"/>
      <c r="E12" s="89" t="s">
        <v>24</v>
      </c>
    </row>
    <row r="13" spans="1:19" ht="25.5" hidden="1" customHeight="1" outlineLevel="1" x14ac:dyDescent="0.3">
      <c r="B13" s="88"/>
      <c r="C13" s="152" t="s">
        <v>133</v>
      </c>
      <c r="D13" s="153"/>
      <c r="E13" s="85">
        <f>Moradia4154672[[#Totals],[Custo ]]</f>
        <v>0</v>
      </c>
    </row>
    <row r="14" spans="1:19" ht="25.5" hidden="1" customHeight="1" outlineLevel="1" x14ac:dyDescent="0.3">
      <c r="B14" s="88"/>
      <c r="C14" s="152" t="s">
        <v>134</v>
      </c>
      <c r="D14" s="153"/>
      <c r="E14" s="85">
        <f>Transporte4457704[[#Totals],[Custo ]]</f>
        <v>0</v>
      </c>
    </row>
    <row r="15" spans="1:19" ht="25.5" hidden="1" customHeight="1" outlineLevel="1" x14ac:dyDescent="0.3">
      <c r="B15" s="88"/>
      <c r="C15" s="152" t="s">
        <v>40</v>
      </c>
      <c r="D15" s="153"/>
      <c r="E15" s="85">
        <f>Alimentação4861746[[#Totals],[Custo ]]</f>
        <v>0</v>
      </c>
    </row>
    <row r="16" spans="1:19" ht="25.5" hidden="1" customHeight="1" outlineLevel="1" x14ac:dyDescent="0.3">
      <c r="B16" s="88"/>
      <c r="C16" s="152" t="s">
        <v>135</v>
      </c>
      <c r="D16" s="153"/>
      <c r="E16" s="85">
        <f>SUM(Entretenimento4255683[[Custo ]])</f>
        <v>0</v>
      </c>
    </row>
    <row r="17" spans="1:19" ht="25.5" hidden="1" customHeight="1" outlineLevel="1" x14ac:dyDescent="0.3">
      <c r="B17" s="88"/>
      <c r="C17" s="152" t="s">
        <v>142</v>
      </c>
      <c r="D17" s="153"/>
      <c r="E17" s="85">
        <f>SUM(CuidadosPessoais52657824114[[Custo ]])</f>
        <v>0</v>
      </c>
    </row>
    <row r="18" spans="1:19" ht="25.5" hidden="1" customHeight="1" outlineLevel="1" x14ac:dyDescent="0.3">
      <c r="B18" s="88"/>
      <c r="C18" s="152" t="s">
        <v>28</v>
      </c>
      <c r="D18" s="153"/>
      <c r="E18" s="85">
        <f>Seguro4558715[[#Totals],[Custo ]]</f>
        <v>0</v>
      </c>
    </row>
    <row r="19" spans="1:19" ht="25.5" hidden="1" customHeight="1" outlineLevel="1" x14ac:dyDescent="0.3">
      <c r="B19" s="88"/>
      <c r="C19" s="152" t="s">
        <v>136</v>
      </c>
      <c r="D19" s="153"/>
      <c r="E19" s="85">
        <f>SUM(Empréstimos43566912[[Custo ]])</f>
        <v>0</v>
      </c>
    </row>
    <row r="20" spans="1:19" ht="25.5" hidden="1" customHeight="1" outlineLevel="1" x14ac:dyDescent="0.3">
      <c r="B20" s="88"/>
      <c r="C20" s="152" t="s">
        <v>137</v>
      </c>
      <c r="D20" s="153"/>
      <c r="E20" s="85">
        <f>SUM(Impostos46597213[[Custo ]])</f>
        <v>0</v>
      </c>
    </row>
    <row r="21" spans="1:19" ht="25.5" hidden="1" customHeight="1" outlineLevel="1" x14ac:dyDescent="0.3">
      <c r="B21" s="88"/>
      <c r="C21" s="152" t="s">
        <v>138</v>
      </c>
      <c r="D21" s="153"/>
      <c r="E21" s="85">
        <f>SUM(Poupança47607323611[[Custo ]])</f>
        <v>0</v>
      </c>
    </row>
    <row r="22" spans="1:19" ht="25.5" hidden="1" customHeight="1" outlineLevel="1" x14ac:dyDescent="0.3">
      <c r="B22" s="88"/>
      <c r="C22" s="152" t="s">
        <v>139</v>
      </c>
      <c r="D22" s="153"/>
      <c r="E22" s="85">
        <f>Presentes4962757[[#Totals],[Custo ]]</f>
        <v>0</v>
      </c>
    </row>
    <row r="23" spans="1:19" ht="25.5" hidden="1" customHeight="1" outlineLevel="1" x14ac:dyDescent="0.3">
      <c r="B23" s="88"/>
      <c r="C23" s="152" t="s">
        <v>140</v>
      </c>
      <c r="D23" s="153"/>
      <c r="E23" s="85">
        <f>Assessoria_jurídica5164779[[#Totals],[Custo ]]</f>
        <v>0</v>
      </c>
    </row>
    <row r="24" spans="1:19" ht="25.5" hidden="1" customHeight="1" outlineLevel="1" x14ac:dyDescent="0.3">
      <c r="B24" s="88"/>
      <c r="C24" s="162" t="s">
        <v>141</v>
      </c>
      <c r="D24" s="163"/>
      <c r="E24" s="85">
        <f>Animais_de_estimação5063768[[#Totals],[Custo ]]</f>
        <v>0</v>
      </c>
    </row>
    <row r="25" spans="1:1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19" ht="16" customHeight="1" x14ac:dyDescent="0.3">
      <c r="B26" s="4"/>
    </row>
    <row r="27" spans="1:19" ht="16" customHeight="1" x14ac:dyDescent="0.3">
      <c r="B27" s="4"/>
    </row>
    <row r="28" spans="1:19" ht="16" customHeight="1" x14ac:dyDescent="0.3">
      <c r="B28" s="4"/>
    </row>
    <row r="29" spans="1:19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x14ac:dyDescent="0.3">
      <c r="A30" s="47"/>
      <c r="B30" s="161"/>
      <c r="C30" s="161"/>
      <c r="D30" s="161"/>
      <c r="E30" s="161"/>
      <c r="F30" s="161"/>
      <c r="G30" s="161"/>
      <c r="H30" s="161"/>
      <c r="I30" s="161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x14ac:dyDescent="0.3">
      <c r="A31" s="47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SUM(Tabela1353667910[Total/mês])</f>
        <v>0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3" hidden="1" customHeight="1" outlineLevel="1" x14ac:dyDescent="0.3">
      <c r="A33" s="47"/>
      <c r="B33" s="140"/>
      <c r="C33" s="142"/>
      <c r="D33" s="143"/>
      <c r="E33" s="52"/>
      <c r="F33" s="48"/>
      <c r="G33" s="48"/>
      <c r="H33" s="48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  <c r="S33" s="48"/>
    </row>
    <row r="34" spans="1:19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  <c r="S34" s="48"/>
    </row>
    <row r="35" spans="1:19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SUM(Tabela1353667910[[#This Row],[Valor cobrado por sessão]]*Tabela1353667910[[#This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  <c r="S35" s="48"/>
    </row>
    <row r="36" spans="1:19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SUM(Tabela1353667910[[#This Row],[Valor cobrado por sessão]]*Tabela1353667910[[#This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  <c r="S36" s="48"/>
    </row>
    <row r="37" spans="1:19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SUM(Tabela1353667910[[#This Row],[Valor cobrado por sessão]]*Tabela1353667910[[#This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  <c r="S37" s="48"/>
    </row>
    <row r="38" spans="1:19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SUM(Tabela1353667910[[#This Row],[Valor cobrado por sessão]]*Tabela1353667910[[#This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  <c r="S38" s="48"/>
    </row>
    <row r="39" spans="1:19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SUM(Tabela1353667910[[#This Row],[Valor cobrado por sessão]]*Tabela1353667910[[#This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  <c r="S39" s="48"/>
    </row>
    <row r="40" spans="1:19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SUM(Tabela1353667910[[#This Row],[Valor cobrado por sessão]]*Tabela1353667910[[#This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  <c r="S40" s="48"/>
    </row>
    <row r="41" spans="1:19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SUM(Tabela1353667910[[#This Row],[Valor cobrado por sessão]]*Tabela1353667910[[#This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  <c r="S41" s="48"/>
    </row>
    <row r="42" spans="1:19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SUM(Tabela1353667910[[#This Row],[Valor cobrado por sessão]]*Tabela1353667910[[#This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  <c r="S42" s="48"/>
    </row>
    <row r="43" spans="1:19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SUM(Tabela1353667910[[#This Row],[Valor cobrado por sessão]]*Tabela1353667910[[#This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  <c r="S43" s="48"/>
    </row>
    <row r="44" spans="1:19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SUM(Tabela1353667910[[#This Row],[Valor cobrado por sessão]]*Tabela1353667910[[#This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  <c r="S44" s="48"/>
    </row>
    <row r="45" spans="1:19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SUM(Tabela1353667910[[#This Row],[Valor cobrado por sessão]]*Tabela1353667910[[#This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  <c r="S45" s="48"/>
    </row>
    <row r="46" spans="1:19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SUM(Tabela1353667910[[#This Row],[Valor cobrado por sessão]]*Tabela1353667910[[#This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  <c r="S46" s="48"/>
    </row>
    <row r="47" spans="1:19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SUM(Tabela1353667910[[#This Row],[Valor cobrado por sessão]]*Tabela1353667910[[#This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  <c r="S47" s="48"/>
    </row>
    <row r="48" spans="1:19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SUM(Tabela1353667910[[#This Row],[Valor cobrado por sessão]]*Tabela1353667910[[#This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  <c r="S48" s="48"/>
    </row>
    <row r="49" spans="1:19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SUM(Tabela1353667910[[#This Row],[Valor cobrado por sessão]]*Tabela1353667910[[#This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  <c r="S49" s="48"/>
    </row>
    <row r="50" spans="1:19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SUM(Tabela1353667910[[#This Row],[Valor cobrado por sessão]]*Tabela1353667910[[#This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  <c r="S50" s="48"/>
    </row>
    <row r="51" spans="1:19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SUM(Tabela1353667910[[#This Row],[Valor cobrado por sessão]]*Tabela1353667910[[#This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  <c r="S51" s="48"/>
    </row>
    <row r="52" spans="1:19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SUM(Tabela1353667910[[#This Row],[Valor cobrado por sessão]]*Tabela1353667910[[#This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  <c r="S52" s="48"/>
    </row>
    <row r="53" spans="1:19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SUM(Tabela1353667910[[#This Row],[Valor cobrado por sessão]]*Tabela1353667910[[#This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  <c r="S53" s="48"/>
    </row>
    <row r="54" spans="1:19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SUM(Tabela1353667910[[#This Row],[Valor cobrado por sessão]]*Tabela1353667910[[#This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  <c r="S54" s="48"/>
    </row>
    <row r="55" spans="1:19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SUM(Tabela1353667910[[#This Row],[Valor cobrado por sessão]]*Tabela1353667910[[#This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  <c r="S55" s="48"/>
    </row>
    <row r="56" spans="1:19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SUM(Tabela1353667910[[#This Row],[Valor cobrado por sessão]]*Tabela1353667910[[#This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  <c r="S56" s="48"/>
    </row>
    <row r="57" spans="1:19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SUM(Tabela1353667910[[#This Row],[Valor cobrado por sessão]]*Tabela1353667910[[#This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  <c r="S57" s="48"/>
    </row>
    <row r="58" spans="1:19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SUM(Tabela1353667910[[#This Row],[Valor cobrado por sessão]]*Tabela1353667910[[#This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  <c r="S58" s="48"/>
    </row>
    <row r="59" spans="1:19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SUM(Tabela1353667910[[#This Row],[Valor cobrado por sessão]]*Tabela1353667910[[#This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  <c r="S59" s="48"/>
    </row>
    <row r="60" spans="1:19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SUM(Tabela1353667910[[#This Row],[Valor cobrado por sessão]]*Tabela1353667910[[#This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  <c r="S60" s="48"/>
    </row>
    <row r="61" spans="1:19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SUM(Tabela1353667910[[#This Row],[Valor cobrado por sessão]]*Tabela1353667910[[#This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  <c r="S61" s="48"/>
    </row>
    <row r="62" spans="1:19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SUM(Tabela1353667910[[#This Row],[Valor cobrado por sessão]]*Tabela1353667910[[#This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  <c r="S62" s="48"/>
    </row>
    <row r="63" spans="1:19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SUM(Tabela1353667910[[#This Row],[Valor cobrado por sessão]]*Tabela1353667910[[#This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  <c r="S63" s="48"/>
    </row>
    <row r="64" spans="1:19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48"/>
    </row>
    <row r="65" spans="1:19" x14ac:dyDescent="0.3">
      <c r="A65" s="47"/>
      <c r="B65" s="140"/>
      <c r="C65" s="50" t="s">
        <v>48</v>
      </c>
      <c r="D65" s="51"/>
      <c r="E65" s="75"/>
      <c r="F65" s="48"/>
      <c r="G65" s="80"/>
      <c r="H65" s="8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3" customHeight="1" x14ac:dyDescent="0.3">
      <c r="A66" s="47" t="s">
        <v>5</v>
      </c>
      <c r="B66" s="141"/>
      <c r="C66" s="103" t="s">
        <v>49</v>
      </c>
      <c r="D66" s="104"/>
      <c r="E66" s="105">
        <f>SUM(E32:E65)</f>
        <v>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x14ac:dyDescent="0.3">
      <c r="A67" s="47"/>
      <c r="B67" s="84"/>
      <c r="C67" s="84"/>
      <c r="D67" s="84"/>
      <c r="E67" s="84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x14ac:dyDescent="0.3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1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19" ht="16" customHeight="1" x14ac:dyDescent="0.3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" customHeight="1" x14ac:dyDescent="0.3">
      <c r="A72" s="90" t="s">
        <v>6</v>
      </c>
      <c r="B72" s="113" t="s">
        <v>14</v>
      </c>
      <c r="C72" s="91" t="s">
        <v>123</v>
      </c>
      <c r="D72" s="92"/>
      <c r="E72" s="113" t="s">
        <v>50</v>
      </c>
      <c r="F72" s="91" t="s">
        <v>123</v>
      </c>
      <c r="G72" s="92"/>
      <c r="H72" s="113" t="s">
        <v>68</v>
      </c>
      <c r="I72" s="91" t="s">
        <v>123</v>
      </c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1:19" ht="15" customHeight="1" x14ac:dyDescent="0.3">
      <c r="A73" s="93"/>
      <c r="B73" s="7" t="str">
        <f>Moradia415467[[#This Row],[MORADIA]]</f>
        <v>Aluguel</v>
      </c>
      <c r="C73" s="95"/>
      <c r="D73" s="94"/>
      <c r="E73" s="7" t="str">
        <f>Entretenimento425568[[#This Row],[ENTRETENIMENTO]]</f>
        <v>Balada/festa</v>
      </c>
      <c r="F73" s="96"/>
      <c r="G73" s="94"/>
      <c r="H73" s="7" t="str">
        <f>Presentes496275[[#This Row],[PRESENTES E DOAÇÕES]]</f>
        <v>Instituição beneficente 1</v>
      </c>
      <c r="I73" s="95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1:19" ht="15" customHeight="1" x14ac:dyDescent="0.3">
      <c r="A74" s="93"/>
      <c r="B74" s="7" t="str">
        <f>Moradia415467[[#This Row],[MORADIA]]</f>
        <v>Telefone</v>
      </c>
      <c r="C74" s="95"/>
      <c r="D74" s="94"/>
      <c r="E74" s="7" t="str">
        <f>Entretenimento425568[[#This Row],[ENTRETENIMENTO]]</f>
        <v>Plataformas de música</v>
      </c>
      <c r="F74" s="96"/>
      <c r="G74" s="94"/>
      <c r="H74" s="7" t="str">
        <f>Presentes496275[[#This Row],[PRESENTES E DOAÇÕES]]</f>
        <v>Instituição beneficente 2</v>
      </c>
      <c r="I74" s="95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19" ht="15" customHeight="1" x14ac:dyDescent="0.3">
      <c r="A75" s="93"/>
      <c r="B75" s="7" t="str">
        <f>Moradia415467[[#This Row],[MORADIA]]</f>
        <v>Conta de luz</v>
      </c>
      <c r="C75" s="95"/>
      <c r="D75" s="94"/>
      <c r="E75" s="7" t="str">
        <f>Entretenimento425568[[#This Row],[ENTRETENIMENTO]]</f>
        <v>Filmes</v>
      </c>
      <c r="F75" s="96"/>
      <c r="G75" s="94"/>
      <c r="H75" s="7" t="str">
        <f>Presentes496275[[#This Row],[PRESENTES E DOAÇÕES]]</f>
        <v>Instituição beneficente 3</v>
      </c>
      <c r="I75" s="95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1:19" ht="15" customHeight="1" x14ac:dyDescent="0.3">
      <c r="A76" s="93"/>
      <c r="B76" s="7" t="str">
        <f>Moradia415467[[#This Row],[MORADIA]]</f>
        <v>Gás</v>
      </c>
      <c r="C76" s="95"/>
      <c r="D76" s="94"/>
      <c r="E76" s="7" t="str">
        <f>Entretenimento425568[[#This Row],[ENTRETENIMENTO]]</f>
        <v>Shows</v>
      </c>
      <c r="F76" s="96"/>
      <c r="G76" s="94"/>
      <c r="H76" s="7" t="s">
        <v>24</v>
      </c>
      <c r="I76" s="95">
        <f>SUM(Presentes4962757[[Custo ]])</f>
        <v>0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9" ht="15" customHeight="1" x14ac:dyDescent="0.3">
      <c r="A77" s="93"/>
      <c r="B77" s="7" t="str">
        <f>Moradia415467[[#This Row],[MORADIA]]</f>
        <v>Água e esgoto</v>
      </c>
      <c r="C77" s="95"/>
      <c r="D77" s="94"/>
      <c r="E77" s="7" t="str">
        <f>Entretenimento425568[[#This Row],[ENTRETENIMENTO]]</f>
        <v>Eventos esportivos</v>
      </c>
      <c r="F77" s="96"/>
      <c r="G77" s="94"/>
      <c r="H77" s="94"/>
      <c r="I77" s="95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19" ht="15" customHeight="1" x14ac:dyDescent="0.3">
      <c r="A78" s="93"/>
      <c r="B78" s="7" t="str">
        <f>Moradia415467[[#This Row],[MORADIA]]</f>
        <v>TV a cabo</v>
      </c>
      <c r="C78" s="95"/>
      <c r="D78" s="94"/>
      <c r="E78" s="7" t="str">
        <f>Entretenimento425568[[#This Row],[ENTRETENIMENTO]]</f>
        <v>Teatro ao vivo</v>
      </c>
      <c r="F78" s="96"/>
      <c r="G78" s="94"/>
      <c r="H78" s="113" t="s">
        <v>72</v>
      </c>
      <c r="I78" s="91" t="s">
        <v>123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1:19" ht="15" customHeight="1" x14ac:dyDescent="0.3">
      <c r="A79" s="93"/>
      <c r="B79" s="7" t="str">
        <f>Moradia415467[[#This Row],[MORADIA]]</f>
        <v>Coleta de lixo</v>
      </c>
      <c r="C79" s="95"/>
      <c r="D79" s="94"/>
      <c r="E79" s="7" t="str">
        <f>Entretenimento425568[[#This Row],[ENTRETENIMENTO]]</f>
        <v>Outros</v>
      </c>
      <c r="F79" s="96"/>
      <c r="G79" s="94"/>
      <c r="H79" s="7" t="str">
        <f>Assessoria_jurídica516477[[#This Row],[ASSESSORIA JURÍDICA]]</f>
        <v>Advogado</v>
      </c>
      <c r="I79" s="95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1:19" ht="15" customHeight="1" x14ac:dyDescent="0.3">
      <c r="A80" s="93"/>
      <c r="B80" s="7" t="str">
        <f>Moradia415467[[#This Row],[MORADIA]]</f>
        <v>Manutenção ou reparos</v>
      </c>
      <c r="C80" s="95"/>
      <c r="D80" s="94"/>
      <c r="E80" s="7" t="str">
        <f>Entretenimento425568[[#This Row],[ENTRETENIMENTO]]</f>
        <v>Outros</v>
      </c>
      <c r="F80" s="96"/>
      <c r="G80" s="94"/>
      <c r="H80" s="7" t="str">
        <f>Assessoria_jurídica516477[[#This Row],[ASSESSORIA JURÍDICA]]</f>
        <v>Pensão alimentícia</v>
      </c>
      <c r="I80" s="95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1:19" ht="15" customHeight="1" x14ac:dyDescent="0.3">
      <c r="A81" s="93"/>
      <c r="B81" s="7" t="str">
        <f>Moradia415467[[#This Row],[MORADIA]]</f>
        <v>Suprimentos</v>
      </c>
      <c r="C81" s="95"/>
      <c r="D81" s="94"/>
      <c r="E81" s="7" t="str">
        <f>Entretenimento425568[[#This Row],[ENTRETENIMENTO]]</f>
        <v>Outros</v>
      </c>
      <c r="F81" s="96"/>
      <c r="G81" s="94"/>
      <c r="H81" s="7" t="str">
        <f>Assessoria_jurídica516477[[#This Row],[ASSESSORIA JURÍDICA]]</f>
        <v>Pagamentos em garantia ou julgamento</v>
      </c>
      <c r="I81" s="95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1:19" ht="15" customHeight="1" x14ac:dyDescent="0.3">
      <c r="A82" s="93"/>
      <c r="B82" s="7" t="str">
        <f>Moradia415467[[#This Row],[MORADIA]]</f>
        <v>Outros</v>
      </c>
      <c r="C82" s="95"/>
      <c r="D82" s="94"/>
      <c r="E82" s="7" t="str">
        <f>Entretenimento425568[[#This Row],[ENTRETENIMENTO]]</f>
        <v>Outros</v>
      </c>
      <c r="F82" s="96"/>
      <c r="G82" s="94"/>
      <c r="H82" s="7" t="str">
        <f>Assessoria_jurídica516477[[#This Row],[ASSESSORIA JURÍDICA]]</f>
        <v>Outros</v>
      </c>
      <c r="I82" s="95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1:19" ht="15" customHeight="1" x14ac:dyDescent="0.3">
      <c r="A83" s="93"/>
      <c r="B83" s="7" t="s">
        <v>24</v>
      </c>
      <c r="C83" s="95">
        <f>SUM(Moradia4154672[[Custo ]])</f>
        <v>0</v>
      </c>
      <c r="D83" s="94"/>
      <c r="E83" s="7" t="s">
        <v>24</v>
      </c>
      <c r="F83" s="96">
        <f>SUM(Entretenimento4255683[[Custo ]])</f>
        <v>0</v>
      </c>
      <c r="G83" s="94"/>
      <c r="H83" s="7" t="s">
        <v>24</v>
      </c>
      <c r="I83" s="95">
        <f>SUM(Assessoria_jurídica5164779[[Custo ]])</f>
        <v>0</v>
      </c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1:19" ht="15" customHeight="1" x14ac:dyDescent="0.3">
      <c r="A84" s="93"/>
      <c r="B84" s="94"/>
      <c r="C84" s="92"/>
      <c r="D84" s="94"/>
      <c r="E84" s="94"/>
      <c r="F84" s="96"/>
      <c r="G84" s="94"/>
      <c r="H84" s="94"/>
      <c r="I84" s="95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1:19" ht="15" customHeight="1" x14ac:dyDescent="0.3">
      <c r="A85" s="90" t="s">
        <v>7</v>
      </c>
      <c r="B85" s="113" t="s">
        <v>25</v>
      </c>
      <c r="C85" s="91" t="s">
        <v>123</v>
      </c>
      <c r="D85" s="92"/>
      <c r="E85" s="113" t="s">
        <v>44</v>
      </c>
      <c r="F85" s="91" t="s">
        <v>123</v>
      </c>
      <c r="G85" s="92"/>
      <c r="H85" s="113" t="s">
        <v>39</v>
      </c>
      <c r="I85" s="91" t="s">
        <v>123</v>
      </c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1:19" ht="15" customHeight="1" x14ac:dyDescent="0.3">
      <c r="A86" s="93"/>
      <c r="B86" s="7" t="str">
        <f>Transporte445770[[#This Row],[TRANSPORTE]]</f>
        <v>Pagamento do veículo</v>
      </c>
      <c r="C86" s="95"/>
      <c r="D86" s="94"/>
      <c r="E86" s="7" t="str">
        <f>CuidadosPessoais526578241[[#This Row],[CUIDADOS PESSOAIS]]</f>
        <v>Médico</v>
      </c>
      <c r="F86" s="95"/>
      <c r="G86" s="94"/>
      <c r="H86" s="7" t="str">
        <f>Animais_de_estimação506376[[#This Row],[ANIMAIS DE ESTIMAÇÃO]]</f>
        <v>Alimentação</v>
      </c>
      <c r="I86" s="95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1:19" ht="15" customHeight="1" x14ac:dyDescent="0.3">
      <c r="A87" s="93"/>
      <c r="B87" s="7" t="str">
        <f>Transporte445770[[#This Row],[TRANSPORTE]]</f>
        <v>Transporte público/táxi</v>
      </c>
      <c r="C87" s="95"/>
      <c r="D87" s="94"/>
      <c r="E87" s="7" t="str">
        <f>CuidadosPessoais526578241[[#This Row],[CUIDADOS PESSOAIS]]</f>
        <v>Cabelo/unhas</v>
      </c>
      <c r="F87" s="95"/>
      <c r="G87" s="94"/>
      <c r="H87" s="7" t="str">
        <f>Animais_de_estimação506376[[#This Row],[ANIMAIS DE ESTIMAÇÃO]]</f>
        <v>Médico</v>
      </c>
      <c r="I87" s="95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1:19" ht="15" customHeight="1" x14ac:dyDescent="0.3">
      <c r="A88" s="93"/>
      <c r="B88" s="7" t="str">
        <f>Transporte445770[[#This Row],[TRANSPORTE]]</f>
        <v>Seguro</v>
      </c>
      <c r="C88" s="95"/>
      <c r="D88" s="94"/>
      <c r="E88" s="7" t="str">
        <f>CuidadosPessoais526578241[[#This Row],[CUIDADOS PESSOAIS]]</f>
        <v>Vestuário</v>
      </c>
      <c r="F88" s="95"/>
      <c r="G88" s="94"/>
      <c r="H88" s="7" t="str">
        <f>Animais_de_estimação506376[[#This Row],[ANIMAIS DE ESTIMAÇÃO]]</f>
        <v>Banho e tosa</v>
      </c>
      <c r="I88" s="95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1:19" ht="15" customHeight="1" x14ac:dyDescent="0.3">
      <c r="A89" s="93"/>
      <c r="B89" s="7" t="str">
        <f>Transporte445770[[#This Row],[TRANSPORTE]]</f>
        <v>Licenciamento</v>
      </c>
      <c r="C89" s="95"/>
      <c r="D89" s="94"/>
      <c r="E89" s="7" t="str">
        <f>CuidadosPessoais526578241[[#This Row],[CUIDADOS PESSOAIS]]</f>
        <v>Cosméticos</v>
      </c>
      <c r="F89" s="95"/>
      <c r="G89" s="94"/>
      <c r="H89" s="7" t="str">
        <f>Animais_de_estimação506376[[#This Row],[ANIMAIS DE ESTIMAÇÃO]]</f>
        <v>Brinquedos</v>
      </c>
      <c r="I89" s="95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1:19" ht="15" customHeight="1" x14ac:dyDescent="0.3">
      <c r="A90" s="93"/>
      <c r="B90" s="7" t="str">
        <f>Transporte445770[[#This Row],[TRANSPORTE]]</f>
        <v>Combustível</v>
      </c>
      <c r="C90" s="95"/>
      <c r="D90" s="94"/>
      <c r="E90" s="7" t="str">
        <f>CuidadosPessoais526578241[[#This Row],[CUIDADOS PESSOAIS]]</f>
        <v>Academia</v>
      </c>
      <c r="F90" s="95"/>
      <c r="G90" s="94"/>
      <c r="H90" s="7" t="str">
        <f>Animais_de_estimação506376[[#This Row],[ANIMAIS DE ESTIMAÇÃO]]</f>
        <v>Outros</v>
      </c>
      <c r="I90" s="95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1:19" ht="15" customHeight="1" x14ac:dyDescent="0.3">
      <c r="A91" s="93"/>
      <c r="B91" s="7" t="str">
        <f>Transporte445770[[#This Row],[TRANSPORTE]]</f>
        <v>Manutenção</v>
      </c>
      <c r="C91" s="95"/>
      <c r="D91" s="94"/>
      <c r="E91" s="7" t="str">
        <f>CuidadosPessoais526578241[[#This Row],[CUIDADOS PESSOAIS]]</f>
        <v>Compras extra</v>
      </c>
      <c r="F91" s="95"/>
      <c r="G91" s="94"/>
      <c r="H91" s="7" t="s">
        <v>24</v>
      </c>
      <c r="I91" s="95">
        <f>SUM(Animais_de_estimação5063768[[Custo ]])</f>
        <v>0</v>
      </c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1:19" ht="15" customHeight="1" x14ac:dyDescent="0.3">
      <c r="A92" s="93"/>
      <c r="B92" s="7" t="str">
        <f>Transporte445770[[#This Row],[TRANSPORTE]]</f>
        <v>Outros</v>
      </c>
      <c r="C92" s="95"/>
      <c r="D92" s="94"/>
      <c r="E92" s="7" t="str">
        <f>CuidadosPessoais526578241[[#This Row],[CUIDADOS PESSOAIS]]</f>
        <v>Outros</v>
      </c>
      <c r="F92" s="95"/>
      <c r="G92" s="94"/>
      <c r="H92" s="94"/>
      <c r="I92" s="95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1:19" ht="15" customHeight="1" x14ac:dyDescent="0.3">
      <c r="A93" s="93"/>
      <c r="B93" s="7" t="s">
        <v>24</v>
      </c>
      <c r="C93" s="95">
        <f>SUM(Transporte4457704[[Custo ]])</f>
        <v>0</v>
      </c>
      <c r="D93" s="94"/>
      <c r="E93" s="7" t="str">
        <f>CuidadosPessoais526578241[[#This Row],[CUIDADOS PESSOAIS]]</f>
        <v>Outros</v>
      </c>
      <c r="F93" s="95"/>
      <c r="G93" s="94"/>
      <c r="H93" s="113" t="s">
        <v>57</v>
      </c>
      <c r="I93" s="91" t="s">
        <v>123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1:19" ht="15" customHeight="1" x14ac:dyDescent="0.3">
      <c r="A94" s="93"/>
      <c r="B94" s="94"/>
      <c r="C94" s="92"/>
      <c r="D94" s="94"/>
      <c r="E94" s="7" t="str">
        <f>CuidadosPessoais526578241[[#This Row],[CUIDADOS PESSOAIS]]</f>
        <v>Outros</v>
      </c>
      <c r="F94" s="95"/>
      <c r="G94" s="94"/>
      <c r="H94" s="7" t="str">
        <f>Empréstimos435669[[#This Row],[EMPRÉSTIMOS]]</f>
        <v>Pessoal</v>
      </c>
      <c r="I94" s="96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5" customHeight="1" x14ac:dyDescent="0.3">
      <c r="A95" s="90" t="s">
        <v>8</v>
      </c>
      <c r="B95" s="113" t="s">
        <v>32</v>
      </c>
      <c r="C95" s="91" t="s">
        <v>123</v>
      </c>
      <c r="D95" s="92"/>
      <c r="E95" s="7" t="str">
        <f>CuidadosPessoais526578241[[#This Row],[CUIDADOS PESSOAIS]]</f>
        <v>Outros</v>
      </c>
      <c r="F95" s="95"/>
      <c r="G95" s="92"/>
      <c r="H95" s="7" t="str">
        <f>Empréstimos435669[[#This Row],[EMPRÉSTIMOS]]</f>
        <v>Estudante</v>
      </c>
      <c r="I95" s="96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1:19" ht="15" customHeight="1" x14ac:dyDescent="0.3">
      <c r="A96" s="93"/>
      <c r="B96" s="7" t="str">
        <f>Seguro455871[[#This Row],[SEGURO]]</f>
        <v>Residencial</v>
      </c>
      <c r="C96" s="95"/>
      <c r="D96" s="94"/>
      <c r="E96" s="7" t="str">
        <f>CuidadosPessoais526578241[[#This Row],[CUIDADOS PESSOAIS]]</f>
        <v>Outros</v>
      </c>
      <c r="F96" s="95"/>
      <c r="G96" s="94"/>
      <c r="H96" s="7" t="str">
        <f>Empréstimos435669[[#This Row],[EMPRÉSTIMOS]]</f>
        <v>Cartão de crédito</v>
      </c>
      <c r="I96" s="96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1:19" ht="15" customHeight="1" x14ac:dyDescent="0.3">
      <c r="A97" s="93"/>
      <c r="B97" s="7" t="str">
        <f>Seguro455871[[#This Row],[SEGURO]]</f>
        <v>Saúde</v>
      </c>
      <c r="C97" s="95"/>
      <c r="D97" s="94"/>
      <c r="E97" s="7" t="str">
        <f>CuidadosPessoais526578241[[#This Row],[CUIDADOS PESSOAIS]]</f>
        <v>Outros</v>
      </c>
      <c r="F97" s="95"/>
      <c r="G97" s="94"/>
      <c r="H97" s="7" t="str">
        <f>Empréstimos435669[[#This Row],[EMPRÉSTIMOS]]</f>
        <v>Cartão de crédito</v>
      </c>
      <c r="I97" s="96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1:19" ht="15" customHeight="1" x14ac:dyDescent="0.3">
      <c r="A98" s="93"/>
      <c r="B98" s="7" t="str">
        <f>Seguro455871[[#This Row],[SEGURO]]</f>
        <v>Vida</v>
      </c>
      <c r="C98" s="95"/>
      <c r="D98" s="94"/>
      <c r="E98" s="7" t="str">
        <f>CuidadosPessoais526578241[[#This Row],[CUIDADOS PESSOAIS]]</f>
        <v>Outros</v>
      </c>
      <c r="F98" s="95"/>
      <c r="G98" s="94"/>
      <c r="H98" s="7" t="str">
        <f>Empréstimos435669[[#This Row],[EMPRÉSTIMOS]]</f>
        <v>Cartão de crédito</v>
      </c>
      <c r="I98" s="96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1:19" ht="15" customHeight="1" x14ac:dyDescent="0.3">
      <c r="A99" s="93"/>
      <c r="B99" s="7" t="str">
        <f>Seguro455871[[#This Row],[SEGURO]]</f>
        <v>Outros</v>
      </c>
      <c r="C99" s="95"/>
      <c r="D99" s="94"/>
      <c r="E99" s="7" t="str">
        <f>CuidadosPessoais526578241[[#This Row],[CUIDADOS PESSOAIS]]</f>
        <v>Outros</v>
      </c>
      <c r="F99" s="95"/>
      <c r="G99" s="94"/>
      <c r="H99" s="7" t="str">
        <f>Empréstimos435669[[#This Row],[EMPRÉSTIMOS]]</f>
        <v>Outros</v>
      </c>
      <c r="I99" s="96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 ht="15" customHeight="1" x14ac:dyDescent="0.3">
      <c r="A100" s="93"/>
      <c r="B100" s="7" t="s">
        <v>24</v>
      </c>
      <c r="C100" s="95">
        <f>SUM(Seguro4558715[[Custo ]])</f>
        <v>0</v>
      </c>
      <c r="D100" s="94"/>
      <c r="E100" s="7" t="s">
        <v>24</v>
      </c>
      <c r="F100" s="95">
        <f>SUM(CuidadosPessoais52657824114[[Custo ]])</f>
        <v>0</v>
      </c>
      <c r="G100" s="94"/>
      <c r="H100" s="7" t="s">
        <v>24</v>
      </c>
      <c r="I100" s="96">
        <f>SUM(Empréstimos43566912[[Custo ]])</f>
        <v>0</v>
      </c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1:19" ht="18" customHeight="1" x14ac:dyDescent="0.3">
      <c r="A101" s="93"/>
      <c r="B101" s="94"/>
      <c r="C101" s="92"/>
      <c r="D101" s="94"/>
      <c r="E101" s="94"/>
      <c r="F101" s="96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1:19" ht="27.5" customHeight="1" x14ac:dyDescent="0.3">
      <c r="A102" s="93" t="s">
        <v>9</v>
      </c>
      <c r="B102" s="113" t="s">
        <v>36</v>
      </c>
      <c r="C102" s="91" t="s">
        <v>123</v>
      </c>
      <c r="D102" s="94"/>
      <c r="E102" s="114" t="s">
        <v>65</v>
      </c>
      <c r="F102" s="98" t="s">
        <v>123</v>
      </c>
      <c r="G102" s="94"/>
      <c r="H102" s="113" t="s">
        <v>61</v>
      </c>
      <c r="I102" s="91" t="s">
        <v>123</v>
      </c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1:19" ht="15.5" customHeight="1" x14ac:dyDescent="0.3">
      <c r="A103" s="93"/>
      <c r="B103" s="7" t="str">
        <f>Alimentação486174[[#This Row],[ALIMENTAÇÃO]]</f>
        <v>Supermercado</v>
      </c>
      <c r="C103" s="95"/>
      <c r="D103" s="94"/>
      <c r="E103" s="7" t="str">
        <f>Poupança476073236[[#This Row],[POUPANÇAS OU INVESTIMENTOS]]</f>
        <v>Aposentadoria</v>
      </c>
      <c r="F103" s="96"/>
      <c r="G103" s="94"/>
      <c r="H103" s="7" t="str">
        <f>Impostos465972[[#This Row],[IMPOSTOS]]</f>
        <v>Federal</v>
      </c>
      <c r="I103" s="96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1:19" ht="15" customHeight="1" x14ac:dyDescent="0.3">
      <c r="A104" s="93"/>
      <c r="B104" s="7" t="str">
        <f>Alimentação486174[[#This Row],[ALIMENTAÇÃO]]</f>
        <v>Almoço fora</v>
      </c>
      <c r="C104" s="95"/>
      <c r="D104" s="94"/>
      <c r="E104" s="7" t="str">
        <f>Poupança476073236[[#This Row],[POUPANÇAS OU INVESTIMENTOS]]</f>
        <v>Investimentos</v>
      </c>
      <c r="F104" s="96"/>
      <c r="G104" s="94"/>
      <c r="H104" s="7" t="str">
        <f>Impostos465972[[#This Row],[IMPOSTOS]]</f>
        <v>Estadual</v>
      </c>
      <c r="I104" s="96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1:19" ht="15" customHeight="1" x14ac:dyDescent="0.3">
      <c r="A105" s="93"/>
      <c r="B105" s="7" t="str">
        <f>Alimentação486174[[#This Row],[ALIMENTAÇÃO]]</f>
        <v>Jantar fora</v>
      </c>
      <c r="C105" s="95"/>
      <c r="D105" s="94"/>
      <c r="E105" s="7" t="str">
        <f>Poupança476073236[[#This Row],[POUPANÇAS OU INVESTIMENTOS]]</f>
        <v>Outros</v>
      </c>
      <c r="F105" s="96"/>
      <c r="G105" s="94"/>
      <c r="H105" s="7" t="str">
        <f>Impostos465972[[#This Row],[IMPOSTOS]]</f>
        <v>Local</v>
      </c>
      <c r="I105" s="96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1:19" ht="15" customHeight="1" x14ac:dyDescent="0.3">
      <c r="A106" s="93"/>
      <c r="B106" s="7" t="str">
        <f>Alimentação486174[[#This Row],[ALIMENTAÇÃO]]</f>
        <v>Padaria/lanche</v>
      </c>
      <c r="C106" s="95"/>
      <c r="D106" s="94"/>
      <c r="E106" s="7" t="str">
        <f>Poupança476073236[[#This Row],[POUPANÇAS OU INVESTIMENTOS]]</f>
        <v>Outros</v>
      </c>
      <c r="F106" s="96"/>
      <c r="G106" s="94"/>
      <c r="H106" s="7" t="str">
        <f>Impostos465972[[#This Row],[IMPOSTOS]]</f>
        <v>Outros</v>
      </c>
      <c r="I106" s="96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1:19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SUM(Impostos46597213[[Custo ]])</f>
        <v>0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x14ac:dyDescent="0.3">
      <c r="A108" s="47" t="s">
        <v>10</v>
      </c>
      <c r="B108" s="7" t="s">
        <v>24</v>
      </c>
      <c r="C108" s="95">
        <f>SUM(Alimentação4861746[[Custo ]])</f>
        <v>0</v>
      </c>
      <c r="D108" s="48"/>
      <c r="E108" s="7" t="s">
        <v>24</v>
      </c>
      <c r="F108" s="96">
        <f>SUM(Poupança47607323611[[Custo ]])</f>
        <v>0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x14ac:dyDescent="0.3">
      <c r="B109" s="4"/>
      <c r="C109" s="4"/>
    </row>
    <row r="110" spans="1:19" x14ac:dyDescent="0.3">
      <c r="E110" s="4"/>
    </row>
    <row r="111" spans="1:1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DyTroGphNk4RPpgkWqH5M87glxwkChD3vbqiIyk7wE+Dbnkoom008V71aL7UT7hoJnFsdfcWKIiuucU8yyKnUA==" saltValue="7cExDXl/pHeQKXu3AgAkEw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6:I7"/>
    <mergeCell ref="A6:A7"/>
    <mergeCell ref="B2:I2"/>
    <mergeCell ref="B3:I3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B10:B11"/>
    <mergeCell ref="C10:D11"/>
    <mergeCell ref="C17:D17"/>
    <mergeCell ref="C18:D18"/>
    <mergeCell ref="C19:D19"/>
    <mergeCell ref="E10:E11"/>
    <mergeCell ref="C22:D22"/>
    <mergeCell ref="C23:D23"/>
    <mergeCell ref="C12:D12"/>
    <mergeCell ref="C9:D9"/>
    <mergeCell ref="C20:D20"/>
    <mergeCell ref="C21:D21"/>
  </mergeCells>
  <dataValidations disablePrompts="1" count="1">
    <dataValidation type="list" allowBlank="1" showInputMessage="1" showErrorMessage="1" sqref="R35:R64 P35:P64 N35:N64 L35:L64 J35:J64" xr:uid="{BC1A3635-0F4E-4105-B083-E9D3F6BEEA8D}">
      <formula1>$J$35:$J$36</formula1>
    </dataValidation>
  </dataValidations>
  <hyperlinks>
    <hyperlink ref="B3" r:id="rId2" xr:uid="{38BDFA38-0F7B-4F53-8A27-E95440A53E2C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1936-1C37-4A45-90F6-AA74B0A3FD8E}">
  <sheetPr>
    <tabColor theme="4"/>
    <pageSetUpPr autoPageBreaks="0" fitToPage="1"/>
  </sheetPr>
  <dimension ref="A1:R119"/>
  <sheetViews>
    <sheetView showGridLines="0" zoomScaleNormal="100" workbookViewId="0">
      <selection activeCell="C108" sqref="C108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179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55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SUM(Tabela135366791023[[#This Row],[Valor cobrado por sessão]]*Tabela135366791023[[#This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SUM(Tabela135366791023[[#This Row],[Valor cobrado por sessão]]*Tabela135366791023[[#This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SUM(Tabela135366791023[[#This Row],[Valor cobrado por sessão]]*Tabela135366791023[[#This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SUM(Tabela135366791023[[#This Row],[Valor cobrado por sessão]]*Tabela135366791023[[#This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SUM(Tabela135366791023[[#This Row],[Valor cobrado por sessão]]*Tabela135366791023[[#This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SUM(Tabela135366791023[[#This Row],[Valor cobrado por sessão]]*Tabela135366791023[[#This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SUM(Tabela135366791023[[#This Row],[Valor cobrado por sessão]]*Tabela135366791023[[#This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SUM(Tabela135366791023[[#This Row],[Valor cobrado por sessão]]*Tabela135366791023[[#This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SUM(Tabela135366791023[[#This Row],[Valor cobrado por sessão]]*Tabela135366791023[[#This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SUM(Tabela135366791023[[#This Row],[Valor cobrado por sessão]]*Tabela135366791023[[#This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SUM(Tabela135366791023[[#This Row],[Valor cobrado por sessão]]*Tabela135366791023[[#This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SUM(Tabela135366791023[[#This Row],[Valor cobrado por sessão]]*Tabela135366791023[[#This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SUM(Tabela135366791023[[#This Row],[Valor cobrado por sessão]]*Tabela135366791023[[#This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SUM(Tabela135366791023[[#This Row],[Valor cobrado por sessão]]*Tabela135366791023[[#This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SUM(Tabela135366791023[[#This Row],[Valor cobrado por sessão]]*Tabela135366791023[[#This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SUM(Tabela135366791023[[#This Row],[Valor cobrado por sessão]]*Tabela135366791023[[#This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SUM(Tabela135366791023[[#This Row],[Valor cobrado por sessão]]*Tabela135366791023[[#This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SUM(Tabela135366791023[[#This Row],[Valor cobrado por sessão]]*Tabela135366791023[[#This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SUM(Tabela135366791023[[#This Row],[Valor cobrado por sessão]]*Tabela135366791023[[#This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SUM(Tabela135366791023[[#This Row],[Valor cobrado por sessão]]*Tabela135366791023[[#This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SUM(Tabela135366791023[[#This Row],[Valor cobrado por sessão]]*Tabela135366791023[[#This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SUM(Tabela135366791023[[#This Row],[Valor cobrado por sessão]]*Tabela135366791023[[#This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SUM(Tabela135366791023[[#This Row],[Valor cobrado por sessão]]*Tabela135366791023[[#This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SUM(Tabela135366791023[[#This Row],[Valor cobrado por sessão]]*Tabela135366791023[[#This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SUM(Tabela135366791023[[#This Row],[Valor cobrado por sessão]]*Tabela135366791023[[#This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SUM(Tabela135366791023[[#This Row],[Valor cobrado por sessão]]*Tabela135366791023[[#This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SUM(Tabela135366791023[[#This Row],[Valor cobrado por sessão]]*Tabela135366791023[[#This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SUM(Tabela135366791023[[#This Row],[Valor cobrado por sessão]]*Tabela135366791023[[#This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SUM(Tabela135366791023[[#This Row],[Valor cobrado por sessão]]*Tabela135366791023[[#This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104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91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SUM(Moradia415467215[[Custo ]])</f>
        <v>0</v>
      </c>
      <c r="E83" s="7" t="s">
        <v>24</v>
      </c>
      <c r="F83" s="96">
        <f>SUM(Entretenimento425568316[[Custo ]])</f>
        <v>0</v>
      </c>
      <c r="H83" s="7" t="s">
        <v>24</v>
      </c>
      <c r="I83" s="95">
        <f>SUM(Assessoria_jurídica516477922[[Custo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SUM(Seguro455871518[[Custo ]])</f>
        <v>0</v>
      </c>
      <c r="E100" s="7" t="s">
        <v>24</v>
      </c>
      <c r="F100" s="95">
        <f>SUM(CuidadosPessoais5265782411427[[Custo ]])</f>
        <v>0</v>
      </c>
      <c r="H100" s="7" t="s">
        <v>24</v>
      </c>
      <c r="I100" s="96">
        <f>SUM(Empréstimos4356691225[[Custo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91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SUM(Alimentação486174619[[Custo ]])</f>
        <v>0</v>
      </c>
      <c r="E108" s="7" t="s">
        <v>24</v>
      </c>
      <c r="F108" s="96">
        <f>SUM(Poupança4760732361124[[Custo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t0DnfdziNNruOCCN1HtOXMK/CJ0UKKRB2horC71mrZEBjDFZjV6u/i8Up9DoF8wZez9lrt6VLZ33TxxSdD2LdQ==" saltValue="9vFoMUokdekvSiGY+hiupA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C8EA3C6D-B84D-4162-9F05-50DAB5697C52}">
      <formula1>$J$35:$J$36</formula1>
    </dataValidation>
  </dataValidations>
  <hyperlinks>
    <hyperlink ref="B3" r:id="rId2" xr:uid="{83083186-87F9-45C6-ABC9-398E58171F02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B53B-C21B-426E-BCE3-052FA48FE10E}">
  <sheetPr>
    <tabColor theme="4"/>
    <pageSetUpPr autoPageBreaks="0" fitToPage="1"/>
  </sheetPr>
  <dimension ref="A1:R119"/>
  <sheetViews>
    <sheetView showGridLines="0" zoomScaleNormal="100" workbookViewId="0">
      <selection activeCell="C91" sqref="C91"/>
    </sheetView>
  </sheetViews>
  <sheetFormatPr defaultRowHeight="13" outlineLevelRow="1" x14ac:dyDescent="0.3"/>
  <cols>
    <col min="1" max="1" width="1.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180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SUM(Tabela13536679102336[[#This Row],[Valor cobrado por sessão]]*Tabela13536679102336[[#This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SUM(Tabela13536679102336[[#This Row],[Valor cobrado por sessão]]*Tabela13536679102336[[#This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SUM(Tabela13536679102336[[#This Row],[Valor cobrado por sessão]]*Tabela13536679102336[[#This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SUM(Tabela13536679102336[[#This Row],[Valor cobrado por sessão]]*Tabela13536679102336[[#This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SUM(Tabela13536679102336[[#This Row],[Valor cobrado por sessão]]*Tabela13536679102336[[#This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SUM(Tabela13536679102336[[#This Row],[Valor cobrado por sessão]]*Tabela13536679102336[[#This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SUM(Tabela13536679102336[[#This Row],[Valor cobrado por sessão]]*Tabela13536679102336[[#This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SUM(Tabela13536679102336[[#This Row],[Valor cobrado por sessão]]*Tabela13536679102336[[#This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SUM(Tabela13536679102336[[#This Row],[Valor cobrado por sessão]]*Tabela13536679102336[[#This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SUM(Tabela13536679102336[[#This Row],[Valor cobrado por sessão]]*Tabela13536679102336[[#This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SUM(Tabela13536679102336[[#This Row],[Valor cobrado por sessão]]*Tabela13536679102336[[#This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SUM(Tabela13536679102336[[#This Row],[Valor cobrado por sessão]]*Tabela13536679102336[[#This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SUM(Tabela13536679102336[[#This Row],[Valor cobrado por sessão]]*Tabela13536679102336[[#This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SUM(Tabela13536679102336[[#This Row],[Valor cobrado por sessão]]*Tabela13536679102336[[#This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SUM(Tabela13536679102336[[#This Row],[Valor cobrado por sessão]]*Tabela13536679102336[[#This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SUM(Tabela13536679102336[[#This Row],[Valor cobrado por sessão]]*Tabela13536679102336[[#This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SUM(Tabela13536679102336[[#This Row],[Valor cobrado por sessão]]*Tabela13536679102336[[#This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SUM(Tabela13536679102336[[#This Row],[Valor cobrado por sessão]]*Tabela13536679102336[[#This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SUM(Tabela13536679102336[[#This Row],[Valor cobrado por sessão]]*Tabela13536679102336[[#This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SUM(Tabela13536679102336[[#This Row],[Valor cobrado por sessão]]*Tabela13536679102336[[#This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SUM(Tabela13536679102336[[#This Row],[Valor cobrado por sessão]]*Tabela13536679102336[[#This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SUM(Tabela13536679102336[[#This Row],[Valor cobrado por sessão]]*Tabela13536679102336[[#This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SUM(Tabela13536679102336[[#This Row],[Valor cobrado por sessão]]*Tabela13536679102336[[#This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SUM(Tabela13536679102336[[#This Row],[Valor cobrado por sessão]]*Tabela13536679102336[[#This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SUM(Tabela13536679102336[[#This Row],[Valor cobrado por sessão]]*Tabela13536679102336[[#This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SUM(Tabela13536679102336[[#This Row],[Valor cobrado por sessão]]*Tabela13536679102336[[#This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SUM(Tabela13536679102336[[#This Row],[Valor cobrado por sessão]]*Tabela13536679102336[[#This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SUM(Tabela13536679102336[[#This Row],[Valor cobrado por sessão]]*Tabela13536679102336[[#This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SUM(Tabela13536679102336[[#This Row],[Valor cobrado por sessão]]*Tabela13536679102336[[#This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104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91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SUM(Moradia41546721528[[Custo ]])</f>
        <v>0</v>
      </c>
      <c r="E83" s="7" t="s">
        <v>24</v>
      </c>
      <c r="F83" s="96">
        <f>SUM(Entretenimento42556831629[[Custo ]])</f>
        <v>0</v>
      </c>
      <c r="H83" s="7" t="s">
        <v>24</v>
      </c>
      <c r="I83" s="95">
        <f>SUM(Assessoria_jurídica51647792235[[Custo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SUM(Seguro45587151831[[Custo ]])</f>
        <v>0</v>
      </c>
      <c r="E100" s="7" t="s">
        <v>24</v>
      </c>
      <c r="F100" s="95">
        <f>SUM(CuidadosPessoais526578241142740[[Custo ]])</f>
        <v>0</v>
      </c>
      <c r="H100" s="7" t="s">
        <v>24</v>
      </c>
      <c r="I100" s="96">
        <f>SUM(Empréstimos435669122538[[Custo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SUM(Alimentação48617461932[[Custo ]])</f>
        <v>0</v>
      </c>
      <c r="E108" s="7" t="s">
        <v>24</v>
      </c>
      <c r="F108" s="96">
        <f>SUM(Poupança476073236112437[[Custo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5TbFnbTn3H4jsInbKG17j+7HOrsooREOsODOJTBUJWxxgYN36ZaPvYbzGOtgeq6hlpM5QpnBRsu1Z0fYa5JDQg==" saltValue="4R5iBEFHYAaIC5r/JqylRA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D2120154-DBC2-4A80-8736-FE311AA6B7E6}">
      <formula1>$J$35:$J$36</formula1>
    </dataValidation>
  </dataValidations>
  <hyperlinks>
    <hyperlink ref="B3" r:id="rId2" xr:uid="{FB592434-BD7B-4BD1-A034-49CABB73DF3D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08DD-453D-4D79-A8B4-99F7A69A650A}">
  <sheetPr>
    <tabColor theme="4"/>
    <pageSetUpPr autoPageBreaks="0" fitToPage="1"/>
  </sheetPr>
  <dimension ref="A1:R119"/>
  <sheetViews>
    <sheetView showGridLines="0" zoomScaleNormal="100" workbookViewId="0">
      <selection activeCell="I75" sqref="I75"/>
    </sheetView>
  </sheetViews>
  <sheetFormatPr defaultRowHeight="13" outlineLevelRow="1" x14ac:dyDescent="0.3"/>
  <cols>
    <col min="1" max="1" width="1.39843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181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107"/>
      <c r="E32" s="108">
        <f>SUM(Tabela1353667910233649[Total/mês])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SUM(Tabela1353667910233649[[#This Row],[Valor cobrado por sessão]]*Tabela1353667910233649[[#This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SUM(Tabela1353667910233649[[#This Row],[Valor cobrado por sessão]]*Tabela1353667910233649[[#This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SUM(Tabela1353667910233649[[#This Row],[Valor cobrado por sessão]]*Tabela1353667910233649[[#This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SUM(Tabela1353667910233649[[#This Row],[Valor cobrado por sessão]]*Tabela1353667910233649[[#This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SUM(Tabela1353667910233649[[#This Row],[Valor cobrado por sessão]]*Tabela1353667910233649[[#This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SUM(Tabela1353667910233649[[#This Row],[Valor cobrado por sessão]]*Tabela1353667910233649[[#This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SUM(Tabela1353667910233649[[#This Row],[Valor cobrado por sessão]]*Tabela1353667910233649[[#This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SUM(Tabela1353667910233649[[#This Row],[Valor cobrado por sessão]]*Tabela1353667910233649[[#This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SUM(Tabela1353667910233649[[#This Row],[Valor cobrado por sessão]]*Tabela1353667910233649[[#This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SUM(Tabela1353667910233649[[#This Row],[Valor cobrado por sessão]]*Tabela1353667910233649[[#This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SUM(Tabela1353667910233649[[#This Row],[Valor cobrado por sessão]]*Tabela1353667910233649[[#This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SUM(Tabela1353667910233649[[#This Row],[Valor cobrado por sessão]]*Tabela1353667910233649[[#This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SUM(Tabela1353667910233649[[#This Row],[Valor cobrado por sessão]]*Tabela1353667910233649[[#This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SUM(Tabela1353667910233649[[#This Row],[Valor cobrado por sessão]]*Tabela1353667910233649[[#This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SUM(Tabela1353667910233649[[#This Row],[Valor cobrado por sessão]]*Tabela1353667910233649[[#This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SUM(Tabela1353667910233649[[#This Row],[Valor cobrado por sessão]]*Tabela1353667910233649[[#This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SUM(Tabela1353667910233649[[#This Row],[Valor cobrado por sessão]]*Tabela1353667910233649[[#This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SUM(Tabela1353667910233649[[#This Row],[Valor cobrado por sessão]]*Tabela1353667910233649[[#This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SUM(Tabela1353667910233649[[#This Row],[Valor cobrado por sessão]]*Tabela1353667910233649[[#This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SUM(Tabela1353667910233649[[#This Row],[Valor cobrado por sessão]]*Tabela1353667910233649[[#This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SUM(Tabela1353667910233649[[#This Row],[Valor cobrado por sessão]]*Tabela1353667910233649[[#This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SUM(Tabela1353667910233649[[#This Row],[Valor cobrado por sessão]]*Tabela1353667910233649[[#This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SUM(Tabela1353667910233649[[#This Row],[Valor cobrado por sessão]]*Tabela1353667910233649[[#This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SUM(Tabela1353667910233649[[#This Row],[Valor cobrado por sessão]]*Tabela1353667910233649[[#This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SUM(Tabela1353667910233649[[#This Row],[Valor cobrado por sessão]]*Tabela1353667910233649[[#This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SUM(Tabela1353667910233649[[#This Row],[Valor cobrado por sessão]]*Tabela1353667910233649[[#This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SUM(Tabela1353667910233649[[#This Row],[Valor cobrado por sessão]]*Tabela1353667910233649[[#This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SUM(Tabela1353667910233649[[#This Row],[Valor cobrado por sessão]]*Tabela1353667910233649[[#This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SUM(Tabela1353667910233649[[#This Row],[Valor cobrado por sessão]]*Tabela1353667910233649[[#This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SUM(Moradia4154672152841[[Custo ]])</f>
        <v>0</v>
      </c>
      <c r="E83" s="7" t="s">
        <v>24</v>
      </c>
      <c r="F83" s="96">
        <f>SUM(Entretenimento4255683162942[[Custo ]])</f>
        <v>0</v>
      </c>
      <c r="H83" s="7" t="s">
        <v>24</v>
      </c>
      <c r="I83" s="95">
        <f>SUM(Assessoria_jurídica5164779223548[[Custo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91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SUM(Seguro4558715183144[[Custo ]])</f>
        <v>0</v>
      </c>
      <c r="E100" s="7" t="s">
        <v>24</v>
      </c>
      <c r="F100" s="95">
        <f>SUM(CuidadosPessoais52657824114274053[[Custo ]])</f>
        <v>0</v>
      </c>
      <c r="H100" s="7" t="s">
        <v>24</v>
      </c>
      <c r="I100" s="96">
        <f>SUM(Empréstimos43566912253851[[Custo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3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115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SUM(Alimentação4861746193245[[Custo ]])</f>
        <v>0</v>
      </c>
      <c r="E108" s="7" t="s">
        <v>24</v>
      </c>
      <c r="F108" s="96">
        <f>SUM(Poupança47607323611243750[[Custo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INO/JfSaszrnLZgy/A//IhnhU/XVBJ+FIhxHq0jaVR66z9CRzm77jYGjyRrwyY1O6Pr97Q/KWL9uHrJMFRgYHg==" saltValue="+kzNxp01tTs3I1NnGvC9rA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disablePrompts="1" count="1">
    <dataValidation type="list" allowBlank="1" showInputMessage="1" showErrorMessage="1" sqref="R35:R64 P35:P64 N35:N64 L35:L64 J35:J64" xr:uid="{5275665C-C213-48ED-A4FA-A795CA2E1D9E}">
      <formula1>$J$35:$J$36</formula1>
    </dataValidation>
  </dataValidations>
  <hyperlinks>
    <hyperlink ref="B3" r:id="rId2" xr:uid="{4B065794-9B1B-4285-A298-BC1129864855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9728-EC0E-4E75-9295-6F5F9A1EEC81}">
  <sheetPr>
    <tabColor theme="4"/>
    <pageSetUpPr autoPageBreaks="0" fitToPage="1"/>
  </sheetPr>
  <dimension ref="A1:R119"/>
  <sheetViews>
    <sheetView showGridLines="0" zoomScaleNormal="100" workbookViewId="0">
      <selection activeCell="F95" sqref="F95"/>
    </sheetView>
  </sheetViews>
  <sheetFormatPr defaultRowHeight="13" outlineLevelRow="1" x14ac:dyDescent="0.3"/>
  <cols>
    <col min="1" max="1" width="1.296875" style="3" customWidth="1"/>
    <col min="2" max="2" width="29.3984375" customWidth="1"/>
    <col min="3" max="3" width="21.3984375" customWidth="1"/>
    <col min="4" max="4" width="13" customWidth="1"/>
    <col min="5" max="5" width="27.69921875" customWidth="1"/>
    <col min="6" max="6" width="20" customWidth="1"/>
    <col min="7" max="7" width="11.3984375" customWidth="1"/>
    <col min="8" max="8" width="32.8984375" customWidth="1"/>
    <col min="9" max="9" width="18.8984375" customWidth="1"/>
    <col min="10" max="10" width="12" customWidth="1"/>
    <col min="11" max="11" width="12.59765625" customWidth="1"/>
    <col min="12" max="12" width="12.19921875" customWidth="1"/>
    <col min="13" max="13" width="12.296875" customWidth="1"/>
    <col min="14" max="14" width="10.09765625" customWidth="1"/>
    <col min="15" max="15" width="12.296875" customWidth="1"/>
    <col min="16" max="16" width="10.09765625" customWidth="1"/>
    <col min="17" max="17" width="12.296875" customWidth="1"/>
    <col min="18" max="18" width="10.09765625" customWidth="1"/>
  </cols>
  <sheetData>
    <row r="1" spans="1:9" ht="15" customHeight="1" x14ac:dyDescent="0.35">
      <c r="A1" s="13"/>
      <c r="B1" s="5"/>
      <c r="C1" s="5"/>
      <c r="D1" s="5"/>
      <c r="E1" s="5"/>
      <c r="F1" s="5"/>
      <c r="G1" s="5"/>
      <c r="H1" s="5"/>
      <c r="I1" s="5"/>
    </row>
    <row r="2" spans="1:9" ht="36.5" customHeight="1" x14ac:dyDescent="0.65">
      <c r="A2" s="112" t="s">
        <v>188</v>
      </c>
      <c r="B2" s="126" t="s">
        <v>13</v>
      </c>
      <c r="C2" s="126"/>
      <c r="D2" s="126"/>
      <c r="E2" s="126"/>
      <c r="F2" s="126"/>
      <c r="G2" s="126"/>
      <c r="H2" s="126"/>
      <c r="I2" s="126"/>
    </row>
    <row r="3" spans="1:9" ht="17" customHeight="1" x14ac:dyDescent="0.35">
      <c r="A3" s="13"/>
      <c r="B3" s="127" t="s">
        <v>187</v>
      </c>
      <c r="C3" s="127"/>
      <c r="D3" s="127"/>
      <c r="E3" s="127"/>
      <c r="F3" s="127"/>
      <c r="G3" s="127"/>
      <c r="H3" s="127"/>
      <c r="I3" s="127"/>
    </row>
    <row r="4" spans="1:9" ht="18" customHeight="1" x14ac:dyDescent="0.35">
      <c r="A4" s="13"/>
      <c r="B4" s="5"/>
      <c r="C4" s="109"/>
      <c r="D4" s="111"/>
      <c r="E4" s="5"/>
      <c r="F4" s="5"/>
      <c r="G4" s="5"/>
      <c r="H4" s="5"/>
      <c r="I4" s="5"/>
    </row>
    <row r="5" spans="1:9" s="13" customFormat="1" ht="14.5" x14ac:dyDescent="0.35"/>
    <row r="6" spans="1:9" ht="13" customHeight="1" x14ac:dyDescent="0.3">
      <c r="A6" s="149"/>
      <c r="B6" s="123" t="s">
        <v>183</v>
      </c>
      <c r="C6" s="123"/>
      <c r="D6" s="123"/>
      <c r="E6" s="123"/>
      <c r="F6" s="123"/>
      <c r="G6" s="123"/>
      <c r="H6" s="123"/>
      <c r="I6" s="123"/>
    </row>
    <row r="7" spans="1:9" ht="18.5" customHeight="1" x14ac:dyDescent="0.3">
      <c r="A7" s="149"/>
      <c r="B7" s="123"/>
      <c r="C7" s="123"/>
      <c r="D7" s="123"/>
      <c r="E7" s="123"/>
      <c r="F7" s="123"/>
      <c r="G7" s="123"/>
      <c r="H7" s="123"/>
      <c r="I7" s="123"/>
    </row>
    <row r="8" spans="1:9" s="15" customFormat="1" x14ac:dyDescent="0.3">
      <c r="A8" s="14"/>
    </row>
    <row r="9" spans="1:9" ht="25.5" customHeight="1" x14ac:dyDescent="0.3">
      <c r="B9" s="86" t="s">
        <v>132</v>
      </c>
      <c r="C9" s="154" t="s">
        <v>145</v>
      </c>
      <c r="D9" s="155"/>
      <c r="E9" s="87">
        <f>E66</f>
        <v>0</v>
      </c>
    </row>
    <row r="10" spans="1:9" ht="25.5" customHeight="1" x14ac:dyDescent="0.3">
      <c r="B10" s="156" t="s">
        <v>131</v>
      </c>
      <c r="C10" s="157" t="s">
        <v>144</v>
      </c>
      <c r="D10" s="158"/>
      <c r="E10" s="150">
        <f>SUM(E13:E24)</f>
        <v>0</v>
      </c>
    </row>
    <row r="11" spans="1:9" ht="25.5" customHeight="1" x14ac:dyDescent="0.3">
      <c r="B11" s="151"/>
      <c r="C11" s="159"/>
      <c r="D11" s="160"/>
      <c r="E11" s="151"/>
    </row>
    <row r="12" spans="1:9" ht="25.5" hidden="1" customHeight="1" outlineLevel="1" x14ac:dyDescent="0.3">
      <c r="B12" s="89"/>
      <c r="C12" s="157" t="s">
        <v>143</v>
      </c>
      <c r="D12" s="158"/>
      <c r="E12" s="89" t="s">
        <v>24</v>
      </c>
    </row>
    <row r="13" spans="1:9" ht="25.5" hidden="1" customHeight="1" outlineLevel="1" x14ac:dyDescent="0.3">
      <c r="B13" s="88"/>
      <c r="C13" s="162" t="s">
        <v>133</v>
      </c>
      <c r="D13" s="163"/>
      <c r="E13" s="85">
        <f>Moradia415467215284154[[#Totals],[Custo ]]</f>
        <v>0</v>
      </c>
    </row>
    <row r="14" spans="1:9" ht="25.5" hidden="1" customHeight="1" outlineLevel="1" x14ac:dyDescent="0.3">
      <c r="B14" s="88"/>
      <c r="C14" s="162" t="s">
        <v>134</v>
      </c>
      <c r="D14" s="163"/>
      <c r="E14" s="85">
        <f>Transporte445770417304356[[#Totals],[Custo ]]</f>
        <v>0</v>
      </c>
    </row>
    <row r="15" spans="1:9" ht="25.5" hidden="1" customHeight="1" outlineLevel="1" x14ac:dyDescent="0.3">
      <c r="B15" s="88"/>
      <c r="C15" s="162" t="s">
        <v>40</v>
      </c>
      <c r="D15" s="163"/>
      <c r="E15" s="85">
        <f>Alimentação486174619324558[[#Totals],[Custo ]]</f>
        <v>0</v>
      </c>
    </row>
    <row r="16" spans="1:9" ht="25.5" hidden="1" customHeight="1" outlineLevel="1" x14ac:dyDescent="0.3">
      <c r="B16" s="88"/>
      <c r="C16" s="162" t="s">
        <v>135</v>
      </c>
      <c r="D16" s="163"/>
      <c r="E16" s="85">
        <f>SUM(Entretenimento425568316294255[[Custo ]])</f>
        <v>0</v>
      </c>
    </row>
    <row r="17" spans="1:9" ht="25.5" hidden="1" customHeight="1" outlineLevel="1" x14ac:dyDescent="0.3">
      <c r="B17" s="88"/>
      <c r="C17" s="162" t="s">
        <v>142</v>
      </c>
      <c r="D17" s="163"/>
      <c r="E17" s="85">
        <f>SUM(CuidadosPessoais5265782411427405366[[Custo ]])</f>
        <v>0</v>
      </c>
    </row>
    <row r="18" spans="1:9" ht="25.5" hidden="1" customHeight="1" outlineLevel="1" x14ac:dyDescent="0.3">
      <c r="B18" s="88"/>
      <c r="C18" s="162" t="s">
        <v>28</v>
      </c>
      <c r="D18" s="163"/>
      <c r="E18" s="85">
        <f>Seguro455871518314457[[#Totals],[Custo ]]</f>
        <v>0</v>
      </c>
    </row>
    <row r="19" spans="1:9" ht="25.5" hidden="1" customHeight="1" outlineLevel="1" x14ac:dyDescent="0.3">
      <c r="B19" s="88"/>
      <c r="C19" s="162" t="s">
        <v>136</v>
      </c>
      <c r="D19" s="163"/>
      <c r="E19" s="85">
        <f>SUM(Empréstimos4356691225385164[[Custo ]])</f>
        <v>0</v>
      </c>
    </row>
    <row r="20" spans="1:9" ht="25.5" hidden="1" customHeight="1" outlineLevel="1" x14ac:dyDescent="0.3">
      <c r="B20" s="88"/>
      <c r="C20" s="162" t="s">
        <v>137</v>
      </c>
      <c r="D20" s="163"/>
      <c r="E20" s="85">
        <f>SUM(Impostos4659721326395265[[Custo ]])</f>
        <v>0</v>
      </c>
    </row>
    <row r="21" spans="1:9" ht="25.5" hidden="1" customHeight="1" outlineLevel="1" x14ac:dyDescent="0.3">
      <c r="B21" s="88"/>
      <c r="C21" s="162" t="s">
        <v>138</v>
      </c>
      <c r="D21" s="163"/>
      <c r="E21" s="85">
        <f>SUM(Poupança4760732361124375063[[Custo ]])</f>
        <v>0</v>
      </c>
    </row>
    <row r="22" spans="1:9" ht="25.5" hidden="1" customHeight="1" outlineLevel="1" x14ac:dyDescent="0.3">
      <c r="B22" s="88"/>
      <c r="C22" s="162" t="s">
        <v>139</v>
      </c>
      <c r="D22" s="163"/>
      <c r="E22" s="85">
        <f>Presentes496275720334659[[#Totals],[Custo ]]</f>
        <v>0</v>
      </c>
    </row>
    <row r="23" spans="1:9" ht="25.5" hidden="1" customHeight="1" outlineLevel="1" x14ac:dyDescent="0.3">
      <c r="B23" s="88"/>
      <c r="C23" s="162" t="s">
        <v>140</v>
      </c>
      <c r="D23" s="163"/>
      <c r="E23" s="85">
        <f>Assessoria_jurídica516477922354861[[#Totals],[Custo ]]</f>
        <v>0</v>
      </c>
    </row>
    <row r="24" spans="1:9" ht="25.5" hidden="1" customHeight="1" outlineLevel="1" x14ac:dyDescent="0.3">
      <c r="B24" s="88"/>
      <c r="C24" s="162" t="s">
        <v>141</v>
      </c>
      <c r="D24" s="163"/>
      <c r="E24" s="85">
        <f>Animais_de_estimação506376821344760[[#Totals],[Custo ]]</f>
        <v>0</v>
      </c>
    </row>
    <row r="25" spans="1:9" ht="27" customHeight="1" collapsed="1" x14ac:dyDescent="0.3">
      <c r="B25" s="16" t="s">
        <v>148</v>
      </c>
      <c r="C25" s="134" t="s">
        <v>149</v>
      </c>
      <c r="D25" s="135"/>
      <c r="E25" s="16">
        <f>E9-E10</f>
        <v>0</v>
      </c>
    </row>
    <row r="26" spans="1:9" ht="16" customHeight="1" x14ac:dyDescent="0.3">
      <c r="B26" s="4"/>
    </row>
    <row r="27" spans="1:9" ht="16" customHeight="1" x14ac:dyDescent="0.3">
      <c r="B27" s="4"/>
    </row>
    <row r="28" spans="1:9" ht="16" customHeight="1" x14ac:dyDescent="0.3">
      <c r="B28" s="4"/>
    </row>
    <row r="29" spans="1:9" s="48" customFormat="1" x14ac:dyDescent="0.3">
      <c r="A29" s="47"/>
      <c r="B29" s="161" t="s">
        <v>147</v>
      </c>
      <c r="C29" s="161"/>
      <c r="D29" s="161"/>
      <c r="E29" s="161"/>
      <c r="F29" s="161"/>
      <c r="G29" s="161"/>
      <c r="H29" s="161"/>
      <c r="I29" s="161"/>
    </row>
    <row r="30" spans="1:9" s="48" customFormat="1" x14ac:dyDescent="0.3">
      <c r="A30" s="47"/>
      <c r="B30" s="161"/>
      <c r="C30" s="161"/>
      <c r="D30" s="161"/>
      <c r="E30" s="161"/>
      <c r="F30" s="161"/>
      <c r="G30" s="161"/>
      <c r="H30" s="161"/>
      <c r="I30" s="161"/>
    </row>
    <row r="31" spans="1:9" s="48" customFormat="1" x14ac:dyDescent="0.3">
      <c r="A31" s="47"/>
      <c r="B31" s="49"/>
    </row>
    <row r="32" spans="1:9" s="48" customFormat="1" ht="13" customHeight="1" x14ac:dyDescent="0.3">
      <c r="A32" s="47" t="s">
        <v>4</v>
      </c>
      <c r="B32" s="139" t="s">
        <v>105</v>
      </c>
      <c r="C32" s="50" t="s">
        <v>119</v>
      </c>
      <c r="D32" s="51"/>
      <c r="E32" s="108">
        <f>SUM(Tabela135366791023364962[Total/mês])</f>
        <v>0</v>
      </c>
    </row>
    <row r="33" spans="1:18" s="48" customFormat="1" ht="13" hidden="1" customHeight="1" outlineLevel="1" x14ac:dyDescent="0.3">
      <c r="A33" s="47"/>
      <c r="B33" s="140"/>
      <c r="C33" s="142"/>
      <c r="D33" s="143"/>
      <c r="E33" s="52"/>
      <c r="I33" s="144" t="s">
        <v>115</v>
      </c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s="48" customFormat="1" ht="38" hidden="1" customHeight="1" outlineLevel="1" x14ac:dyDescent="0.3">
      <c r="A34" s="47"/>
      <c r="B34" s="140"/>
      <c r="C34" s="53" t="s">
        <v>109</v>
      </c>
      <c r="D34" s="54" t="s">
        <v>15</v>
      </c>
      <c r="E34" s="55" t="s">
        <v>120</v>
      </c>
      <c r="F34" s="101" t="s">
        <v>110</v>
      </c>
      <c r="G34" s="56" t="s">
        <v>112</v>
      </c>
      <c r="H34" s="57" t="s">
        <v>111</v>
      </c>
      <c r="I34" s="49" t="s">
        <v>106</v>
      </c>
      <c r="J34" s="49" t="s">
        <v>121</v>
      </c>
      <c r="K34" s="49" t="s">
        <v>113</v>
      </c>
      <c r="L34" s="49" t="s">
        <v>122</v>
      </c>
      <c r="M34" s="49" t="s">
        <v>114</v>
      </c>
      <c r="N34" s="49" t="s">
        <v>126</v>
      </c>
      <c r="O34" s="49" t="s">
        <v>107</v>
      </c>
      <c r="P34" s="49" t="s">
        <v>127</v>
      </c>
      <c r="Q34" s="49" t="s">
        <v>108</v>
      </c>
      <c r="R34" s="49" t="s">
        <v>128</v>
      </c>
    </row>
    <row r="35" spans="1:18" s="48" customFormat="1" ht="13" hidden="1" customHeight="1" outlineLevel="1" x14ac:dyDescent="0.3">
      <c r="A35" s="47"/>
      <c r="B35" s="140"/>
      <c r="C35" s="58" t="s">
        <v>76</v>
      </c>
      <c r="D35" s="59"/>
      <c r="E35" s="52"/>
      <c r="F35" s="102">
        <f>SUM(Tabela135366791023364962[[#This Row],[Valor cobrado por sessão]]*Tabela135366791023364962[[#This Row],[Número sessão/mês]])</f>
        <v>0</v>
      </c>
      <c r="G35" s="60"/>
      <c r="H35" s="61"/>
      <c r="I35" s="62">
        <v>44927</v>
      </c>
      <c r="J35" s="63" t="s">
        <v>117</v>
      </c>
      <c r="K35" s="64">
        <v>44934</v>
      </c>
      <c r="L35" s="63" t="s">
        <v>117</v>
      </c>
      <c r="M35" s="65">
        <v>44941</v>
      </c>
      <c r="N35" s="66" t="s">
        <v>117</v>
      </c>
      <c r="O35" s="64">
        <v>44951</v>
      </c>
      <c r="P35" s="63" t="s">
        <v>117</v>
      </c>
      <c r="Q35" s="65" t="s">
        <v>116</v>
      </c>
      <c r="R35" s="65" t="s">
        <v>117</v>
      </c>
    </row>
    <row r="36" spans="1:18" s="48" customFormat="1" ht="13" hidden="1" customHeight="1" outlineLevel="1" x14ac:dyDescent="0.3">
      <c r="A36" s="47"/>
      <c r="B36" s="140"/>
      <c r="C36" s="58" t="s">
        <v>77</v>
      </c>
      <c r="D36" s="59"/>
      <c r="E36" s="52"/>
      <c r="F36" s="102">
        <f>SUM(Tabela135366791023364962[[#This Row],[Valor cobrado por sessão]]*Tabela135366791023364962[[#This Row],[Número sessão/mês]])</f>
        <v>0</v>
      </c>
      <c r="G36" s="60"/>
      <c r="H36" s="61"/>
      <c r="I36" s="67"/>
      <c r="J36" s="68" t="s">
        <v>118</v>
      </c>
      <c r="K36" s="69"/>
      <c r="L36" s="68" t="s">
        <v>118</v>
      </c>
      <c r="M36" s="70"/>
      <c r="N36" s="70" t="s">
        <v>118</v>
      </c>
      <c r="O36" s="69"/>
      <c r="P36" s="68" t="s">
        <v>118</v>
      </c>
      <c r="Q36" s="70"/>
      <c r="R36" s="70" t="s">
        <v>118</v>
      </c>
    </row>
    <row r="37" spans="1:18" s="48" customFormat="1" ht="13" hidden="1" customHeight="1" outlineLevel="1" x14ac:dyDescent="0.3">
      <c r="A37" s="47"/>
      <c r="B37" s="140"/>
      <c r="C37" s="58" t="s">
        <v>78</v>
      </c>
      <c r="D37" s="59"/>
      <c r="E37" s="52"/>
      <c r="F37" s="102">
        <f>SUM(Tabela135366791023364962[[#This Row],[Valor cobrado por sessão]]*Tabela135366791023364962[[#This Row],[Número sessão/mês]])</f>
        <v>0</v>
      </c>
      <c r="G37" s="60"/>
      <c r="H37" s="61"/>
      <c r="I37" s="71"/>
      <c r="J37" s="72"/>
      <c r="K37" s="73"/>
      <c r="L37" s="72"/>
      <c r="M37" s="74"/>
      <c r="N37" s="74"/>
      <c r="O37" s="73"/>
      <c r="P37" s="72"/>
      <c r="Q37" s="74"/>
      <c r="R37" s="74"/>
    </row>
    <row r="38" spans="1:18" s="48" customFormat="1" ht="13" hidden="1" customHeight="1" outlineLevel="1" x14ac:dyDescent="0.3">
      <c r="A38" s="47"/>
      <c r="B38" s="140"/>
      <c r="C38" s="58" t="s">
        <v>79</v>
      </c>
      <c r="D38" s="59"/>
      <c r="E38" s="52"/>
      <c r="F38" s="102">
        <f>SUM(Tabela135366791023364962[[#This Row],[Valor cobrado por sessão]]*Tabela135366791023364962[[#This Row],[Número sessão/mês]])</f>
        <v>0</v>
      </c>
      <c r="G38" s="60"/>
      <c r="H38" s="61"/>
      <c r="I38" s="71"/>
      <c r="J38" s="72"/>
      <c r="K38" s="73"/>
      <c r="L38" s="72"/>
      <c r="M38" s="74"/>
      <c r="N38" s="74"/>
      <c r="O38" s="73"/>
      <c r="P38" s="72"/>
      <c r="Q38" s="74"/>
      <c r="R38" s="74"/>
    </row>
    <row r="39" spans="1:18" s="48" customFormat="1" ht="13" hidden="1" customHeight="1" outlineLevel="1" x14ac:dyDescent="0.3">
      <c r="A39" s="47"/>
      <c r="B39" s="140"/>
      <c r="C39" s="58" t="s">
        <v>80</v>
      </c>
      <c r="D39" s="59"/>
      <c r="E39" s="52"/>
      <c r="F39" s="102">
        <f>SUM(Tabela135366791023364962[[#This Row],[Valor cobrado por sessão]]*Tabela135366791023364962[[#This Row],[Número sessão/mês]])</f>
        <v>0</v>
      </c>
      <c r="G39" s="60"/>
      <c r="H39" s="61"/>
      <c r="I39" s="71"/>
      <c r="J39" s="72"/>
      <c r="K39" s="73"/>
      <c r="L39" s="72"/>
      <c r="M39" s="74"/>
      <c r="N39" s="74"/>
      <c r="O39" s="73"/>
      <c r="P39" s="72"/>
      <c r="Q39" s="74"/>
      <c r="R39" s="74"/>
    </row>
    <row r="40" spans="1:18" s="48" customFormat="1" ht="13" hidden="1" customHeight="1" outlineLevel="1" x14ac:dyDescent="0.3">
      <c r="A40" s="47"/>
      <c r="B40" s="140"/>
      <c r="C40" s="58" t="s">
        <v>81</v>
      </c>
      <c r="D40" s="59"/>
      <c r="E40" s="52"/>
      <c r="F40" s="102">
        <f>SUM(Tabela135366791023364962[[#This Row],[Valor cobrado por sessão]]*Tabela135366791023364962[[#This Row],[Número sessão/mês]])</f>
        <v>0</v>
      </c>
      <c r="G40" s="60"/>
      <c r="H40" s="61"/>
      <c r="I40" s="71"/>
      <c r="J40" s="72"/>
      <c r="K40" s="73"/>
      <c r="L40" s="72"/>
      <c r="M40" s="74"/>
      <c r="N40" s="74"/>
      <c r="O40" s="73"/>
      <c r="P40" s="72"/>
      <c r="Q40" s="74"/>
      <c r="R40" s="74"/>
    </row>
    <row r="41" spans="1:18" s="48" customFormat="1" ht="13" hidden="1" customHeight="1" outlineLevel="1" x14ac:dyDescent="0.3">
      <c r="A41" s="47"/>
      <c r="B41" s="140"/>
      <c r="C41" s="58" t="s">
        <v>82</v>
      </c>
      <c r="D41" s="59"/>
      <c r="E41" s="52"/>
      <c r="F41" s="102">
        <f>SUM(Tabela135366791023364962[[#This Row],[Valor cobrado por sessão]]*Tabela135366791023364962[[#This Row],[Número sessão/mês]])</f>
        <v>0</v>
      </c>
      <c r="G41" s="60"/>
      <c r="H41" s="61"/>
      <c r="I41" s="71"/>
      <c r="J41" s="72"/>
      <c r="K41" s="73"/>
      <c r="L41" s="72"/>
      <c r="M41" s="74"/>
      <c r="N41" s="74"/>
      <c r="O41" s="73"/>
      <c r="P41" s="72"/>
      <c r="Q41" s="74"/>
      <c r="R41" s="74"/>
    </row>
    <row r="42" spans="1:18" s="48" customFormat="1" ht="13" hidden="1" customHeight="1" outlineLevel="1" x14ac:dyDescent="0.3">
      <c r="A42" s="47"/>
      <c r="B42" s="140"/>
      <c r="C42" s="58" t="s">
        <v>83</v>
      </c>
      <c r="D42" s="59"/>
      <c r="E42" s="52"/>
      <c r="F42" s="102">
        <f>SUM(Tabela135366791023364962[[#This Row],[Valor cobrado por sessão]]*Tabela135366791023364962[[#This Row],[Número sessão/mês]])</f>
        <v>0</v>
      </c>
      <c r="G42" s="60"/>
      <c r="H42" s="61"/>
      <c r="I42" s="71"/>
      <c r="J42" s="72"/>
      <c r="K42" s="73"/>
      <c r="L42" s="72"/>
      <c r="M42" s="74"/>
      <c r="N42" s="74"/>
      <c r="O42" s="73"/>
      <c r="P42" s="72"/>
      <c r="Q42" s="74"/>
      <c r="R42" s="74"/>
    </row>
    <row r="43" spans="1:18" s="48" customFormat="1" ht="13" hidden="1" customHeight="1" outlineLevel="1" x14ac:dyDescent="0.3">
      <c r="A43" s="47"/>
      <c r="B43" s="140"/>
      <c r="C43" s="58" t="s">
        <v>84</v>
      </c>
      <c r="D43" s="59"/>
      <c r="E43" s="52"/>
      <c r="F43" s="102">
        <f>SUM(Tabela135366791023364962[[#This Row],[Valor cobrado por sessão]]*Tabela135366791023364962[[#This Row],[Número sessão/mês]])</f>
        <v>0</v>
      </c>
      <c r="G43" s="60"/>
      <c r="H43" s="61"/>
      <c r="I43" s="71"/>
      <c r="J43" s="72"/>
      <c r="K43" s="73"/>
      <c r="L43" s="72"/>
      <c r="M43" s="74"/>
      <c r="N43" s="74"/>
      <c r="O43" s="73"/>
      <c r="P43" s="72"/>
      <c r="Q43" s="74"/>
      <c r="R43" s="74"/>
    </row>
    <row r="44" spans="1:18" s="48" customFormat="1" ht="13" hidden="1" customHeight="1" outlineLevel="1" x14ac:dyDescent="0.3">
      <c r="A44" s="47"/>
      <c r="B44" s="140"/>
      <c r="C44" s="58" t="s">
        <v>85</v>
      </c>
      <c r="D44" s="59"/>
      <c r="E44" s="52"/>
      <c r="F44" s="102">
        <f>SUM(Tabela135366791023364962[[#This Row],[Valor cobrado por sessão]]*Tabela135366791023364962[[#This Row],[Número sessão/mês]])</f>
        <v>0</v>
      </c>
      <c r="G44" s="60"/>
      <c r="H44" s="61"/>
      <c r="I44" s="71"/>
      <c r="J44" s="72"/>
      <c r="K44" s="73"/>
      <c r="L44" s="72"/>
      <c r="M44" s="74"/>
      <c r="N44" s="74"/>
      <c r="O44" s="73"/>
      <c r="P44" s="72"/>
      <c r="Q44" s="74"/>
      <c r="R44" s="74"/>
    </row>
    <row r="45" spans="1:18" s="48" customFormat="1" ht="13" hidden="1" customHeight="1" outlineLevel="1" x14ac:dyDescent="0.3">
      <c r="A45" s="47"/>
      <c r="B45" s="140"/>
      <c r="C45" s="58" t="s">
        <v>86</v>
      </c>
      <c r="D45" s="59"/>
      <c r="E45" s="52"/>
      <c r="F45" s="102">
        <f>SUM(Tabela135366791023364962[[#This Row],[Valor cobrado por sessão]]*Tabela135366791023364962[[#This Row],[Número sessão/mês]])</f>
        <v>0</v>
      </c>
      <c r="G45" s="60"/>
      <c r="H45" s="61"/>
      <c r="I45" s="71"/>
      <c r="J45" s="72"/>
      <c r="K45" s="73"/>
      <c r="L45" s="72"/>
      <c r="M45" s="74"/>
      <c r="N45" s="74"/>
      <c r="O45" s="73"/>
      <c r="P45" s="72"/>
      <c r="Q45" s="74"/>
      <c r="R45" s="74"/>
    </row>
    <row r="46" spans="1:18" s="48" customFormat="1" ht="13" hidden="1" customHeight="1" outlineLevel="1" x14ac:dyDescent="0.3">
      <c r="A46" s="47"/>
      <c r="B46" s="140"/>
      <c r="C46" s="58" t="s">
        <v>87</v>
      </c>
      <c r="D46" s="59"/>
      <c r="E46" s="52"/>
      <c r="F46" s="102">
        <f>SUM(Tabela135366791023364962[[#This Row],[Valor cobrado por sessão]]*Tabela135366791023364962[[#This Row],[Número sessão/mês]])</f>
        <v>0</v>
      </c>
      <c r="G46" s="60"/>
      <c r="H46" s="61"/>
      <c r="I46" s="71"/>
      <c r="J46" s="72"/>
      <c r="K46" s="73"/>
      <c r="L46" s="72"/>
      <c r="M46" s="74"/>
      <c r="N46" s="74"/>
      <c r="O46" s="73"/>
      <c r="P46" s="72"/>
      <c r="Q46" s="74"/>
      <c r="R46" s="74"/>
    </row>
    <row r="47" spans="1:18" s="48" customFormat="1" ht="13" hidden="1" customHeight="1" outlineLevel="1" x14ac:dyDescent="0.3">
      <c r="A47" s="47"/>
      <c r="B47" s="140"/>
      <c r="C47" s="58" t="s">
        <v>88</v>
      </c>
      <c r="D47" s="59"/>
      <c r="E47" s="52"/>
      <c r="F47" s="102">
        <f>SUM(Tabela135366791023364962[[#This Row],[Valor cobrado por sessão]]*Tabela135366791023364962[[#This Row],[Número sessão/mês]])</f>
        <v>0</v>
      </c>
      <c r="G47" s="60"/>
      <c r="H47" s="61"/>
      <c r="I47" s="71"/>
      <c r="J47" s="72"/>
      <c r="K47" s="73"/>
      <c r="L47" s="72"/>
      <c r="M47" s="74"/>
      <c r="N47" s="74"/>
      <c r="O47" s="73"/>
      <c r="P47" s="72"/>
      <c r="Q47" s="74"/>
      <c r="R47" s="74"/>
    </row>
    <row r="48" spans="1:18" s="48" customFormat="1" ht="13" hidden="1" customHeight="1" outlineLevel="1" x14ac:dyDescent="0.3">
      <c r="A48" s="47"/>
      <c r="B48" s="140"/>
      <c r="C48" s="58" t="s">
        <v>89</v>
      </c>
      <c r="D48" s="59"/>
      <c r="E48" s="52"/>
      <c r="F48" s="102">
        <f>SUM(Tabela135366791023364962[[#This Row],[Valor cobrado por sessão]]*Tabela135366791023364962[[#This Row],[Número sessão/mês]])</f>
        <v>0</v>
      </c>
      <c r="G48" s="60"/>
      <c r="H48" s="61"/>
      <c r="I48" s="71"/>
      <c r="J48" s="72"/>
      <c r="K48" s="73"/>
      <c r="L48" s="72"/>
      <c r="M48" s="74"/>
      <c r="N48" s="74"/>
      <c r="O48" s="73"/>
      <c r="P48" s="72"/>
      <c r="Q48" s="74"/>
      <c r="R48" s="74"/>
    </row>
    <row r="49" spans="1:18" s="48" customFormat="1" ht="13" hidden="1" customHeight="1" outlineLevel="1" x14ac:dyDescent="0.3">
      <c r="A49" s="47"/>
      <c r="B49" s="140"/>
      <c r="C49" s="58" t="s">
        <v>90</v>
      </c>
      <c r="D49" s="59"/>
      <c r="E49" s="52"/>
      <c r="F49" s="102">
        <f>SUM(Tabela135366791023364962[[#This Row],[Valor cobrado por sessão]]*Tabela135366791023364962[[#This Row],[Número sessão/mês]])</f>
        <v>0</v>
      </c>
      <c r="G49" s="60"/>
      <c r="H49" s="61"/>
      <c r="I49" s="71"/>
      <c r="J49" s="72"/>
      <c r="K49" s="73"/>
      <c r="L49" s="72"/>
      <c r="M49" s="74"/>
      <c r="N49" s="74"/>
      <c r="O49" s="73"/>
      <c r="P49" s="72"/>
      <c r="Q49" s="74"/>
      <c r="R49" s="74"/>
    </row>
    <row r="50" spans="1:18" s="48" customFormat="1" ht="13" hidden="1" customHeight="1" outlineLevel="1" x14ac:dyDescent="0.3">
      <c r="A50" s="47"/>
      <c r="B50" s="140"/>
      <c r="C50" s="58" t="s">
        <v>91</v>
      </c>
      <c r="D50" s="59"/>
      <c r="E50" s="52"/>
      <c r="F50" s="102">
        <f>SUM(Tabela135366791023364962[[#This Row],[Valor cobrado por sessão]]*Tabela135366791023364962[[#This Row],[Número sessão/mês]])</f>
        <v>0</v>
      </c>
      <c r="G50" s="60"/>
      <c r="H50" s="61"/>
      <c r="I50" s="71"/>
      <c r="J50" s="72"/>
      <c r="K50" s="73"/>
      <c r="L50" s="72"/>
      <c r="M50" s="74"/>
      <c r="N50" s="74"/>
      <c r="O50" s="73"/>
      <c r="P50" s="72"/>
      <c r="Q50" s="74"/>
      <c r="R50" s="74"/>
    </row>
    <row r="51" spans="1:18" s="48" customFormat="1" ht="13" hidden="1" customHeight="1" outlineLevel="1" x14ac:dyDescent="0.3">
      <c r="A51" s="47"/>
      <c r="B51" s="140"/>
      <c r="C51" s="58" t="s">
        <v>92</v>
      </c>
      <c r="D51" s="59"/>
      <c r="E51" s="52"/>
      <c r="F51" s="102">
        <f>SUM(Tabela135366791023364962[[#This Row],[Valor cobrado por sessão]]*Tabela135366791023364962[[#This Row],[Número sessão/mês]])</f>
        <v>0</v>
      </c>
      <c r="G51" s="60"/>
      <c r="H51" s="61"/>
      <c r="I51" s="71"/>
      <c r="J51" s="72"/>
      <c r="K51" s="73"/>
      <c r="L51" s="72"/>
      <c r="M51" s="74"/>
      <c r="N51" s="74"/>
      <c r="O51" s="73"/>
      <c r="P51" s="72"/>
      <c r="Q51" s="74"/>
      <c r="R51" s="74"/>
    </row>
    <row r="52" spans="1:18" s="48" customFormat="1" ht="13" hidden="1" customHeight="1" outlineLevel="1" x14ac:dyDescent="0.3">
      <c r="A52" s="47"/>
      <c r="B52" s="140"/>
      <c r="C52" s="58" t="s">
        <v>93</v>
      </c>
      <c r="D52" s="59"/>
      <c r="E52" s="52"/>
      <c r="F52" s="102">
        <f>SUM(Tabela135366791023364962[[#This Row],[Valor cobrado por sessão]]*Tabela135366791023364962[[#This Row],[Número sessão/mês]])</f>
        <v>0</v>
      </c>
      <c r="G52" s="60"/>
      <c r="H52" s="61"/>
      <c r="I52" s="71"/>
      <c r="J52" s="72"/>
      <c r="K52" s="73"/>
      <c r="L52" s="72"/>
      <c r="M52" s="74"/>
      <c r="N52" s="74"/>
      <c r="O52" s="73"/>
      <c r="P52" s="72"/>
      <c r="Q52" s="74"/>
      <c r="R52" s="74"/>
    </row>
    <row r="53" spans="1:18" s="48" customFormat="1" ht="13" hidden="1" customHeight="1" outlineLevel="1" x14ac:dyDescent="0.3">
      <c r="A53" s="47"/>
      <c r="B53" s="140"/>
      <c r="C53" s="58" t="s">
        <v>94</v>
      </c>
      <c r="D53" s="59"/>
      <c r="E53" s="52"/>
      <c r="F53" s="102">
        <f>SUM(Tabela135366791023364962[[#This Row],[Valor cobrado por sessão]]*Tabela135366791023364962[[#This Row],[Número sessão/mês]])</f>
        <v>0</v>
      </c>
      <c r="G53" s="60"/>
      <c r="H53" s="61"/>
      <c r="I53" s="71"/>
      <c r="J53" s="72"/>
      <c r="K53" s="73"/>
      <c r="L53" s="72"/>
      <c r="M53" s="74"/>
      <c r="N53" s="74"/>
      <c r="O53" s="73"/>
      <c r="P53" s="72"/>
      <c r="Q53" s="74"/>
      <c r="R53" s="74"/>
    </row>
    <row r="54" spans="1:18" s="48" customFormat="1" ht="13" hidden="1" customHeight="1" outlineLevel="1" x14ac:dyDescent="0.3">
      <c r="A54" s="47"/>
      <c r="B54" s="140"/>
      <c r="C54" s="58" t="s">
        <v>95</v>
      </c>
      <c r="D54" s="59"/>
      <c r="E54" s="52"/>
      <c r="F54" s="102">
        <f>SUM(Tabela135366791023364962[[#This Row],[Valor cobrado por sessão]]*Tabela135366791023364962[[#This Row],[Número sessão/mês]])</f>
        <v>0</v>
      </c>
      <c r="G54" s="60"/>
      <c r="H54" s="61"/>
      <c r="I54" s="71"/>
      <c r="J54" s="72"/>
      <c r="K54" s="73"/>
      <c r="L54" s="72"/>
      <c r="M54" s="74"/>
      <c r="N54" s="74"/>
      <c r="O54" s="73"/>
      <c r="P54" s="72"/>
      <c r="Q54" s="74"/>
      <c r="R54" s="74"/>
    </row>
    <row r="55" spans="1:18" s="48" customFormat="1" ht="13" hidden="1" customHeight="1" outlineLevel="1" x14ac:dyDescent="0.3">
      <c r="A55" s="47"/>
      <c r="B55" s="140"/>
      <c r="C55" s="58" t="s">
        <v>96</v>
      </c>
      <c r="D55" s="59"/>
      <c r="E55" s="52"/>
      <c r="F55" s="102">
        <f>SUM(Tabela135366791023364962[[#This Row],[Valor cobrado por sessão]]*Tabela135366791023364962[[#This Row],[Número sessão/mês]])</f>
        <v>0</v>
      </c>
      <c r="G55" s="60"/>
      <c r="H55" s="61"/>
      <c r="I55" s="71"/>
      <c r="J55" s="72"/>
      <c r="K55" s="73"/>
      <c r="L55" s="72"/>
      <c r="M55" s="74"/>
      <c r="N55" s="74"/>
      <c r="O55" s="73"/>
      <c r="P55" s="72"/>
      <c r="Q55" s="74"/>
      <c r="R55" s="74"/>
    </row>
    <row r="56" spans="1:18" s="48" customFormat="1" ht="13" hidden="1" customHeight="1" outlineLevel="1" x14ac:dyDescent="0.3">
      <c r="A56" s="47"/>
      <c r="B56" s="140"/>
      <c r="C56" s="58" t="s">
        <v>97</v>
      </c>
      <c r="D56" s="59"/>
      <c r="E56" s="52"/>
      <c r="F56" s="102">
        <f>SUM(Tabela135366791023364962[[#This Row],[Valor cobrado por sessão]]*Tabela135366791023364962[[#This Row],[Número sessão/mês]])</f>
        <v>0</v>
      </c>
      <c r="G56" s="60"/>
      <c r="H56" s="61"/>
      <c r="I56" s="71"/>
      <c r="J56" s="72"/>
      <c r="K56" s="73"/>
      <c r="L56" s="72"/>
      <c r="M56" s="74"/>
      <c r="N56" s="74"/>
      <c r="O56" s="73"/>
      <c r="P56" s="72"/>
      <c r="Q56" s="74"/>
      <c r="R56" s="74"/>
    </row>
    <row r="57" spans="1:18" s="48" customFormat="1" ht="13" hidden="1" customHeight="1" outlineLevel="1" x14ac:dyDescent="0.3">
      <c r="A57" s="47"/>
      <c r="B57" s="140"/>
      <c r="C57" s="58" t="s">
        <v>98</v>
      </c>
      <c r="D57" s="59"/>
      <c r="E57" s="52"/>
      <c r="F57" s="102">
        <f>SUM(Tabela135366791023364962[[#This Row],[Valor cobrado por sessão]]*Tabela135366791023364962[[#This Row],[Número sessão/mês]])</f>
        <v>0</v>
      </c>
      <c r="G57" s="60"/>
      <c r="H57" s="61"/>
      <c r="I57" s="71"/>
      <c r="J57" s="72"/>
      <c r="K57" s="73"/>
      <c r="L57" s="72"/>
      <c r="M57" s="74"/>
      <c r="N57" s="74"/>
      <c r="O57" s="73"/>
      <c r="P57" s="72"/>
      <c r="Q57" s="74"/>
      <c r="R57" s="74"/>
    </row>
    <row r="58" spans="1:18" s="48" customFormat="1" ht="13" hidden="1" customHeight="1" outlineLevel="1" x14ac:dyDescent="0.3">
      <c r="A58" s="47"/>
      <c r="B58" s="140"/>
      <c r="C58" s="58" t="s">
        <v>99</v>
      </c>
      <c r="D58" s="59"/>
      <c r="E58" s="52"/>
      <c r="F58" s="102">
        <f>SUM(Tabela135366791023364962[[#This Row],[Valor cobrado por sessão]]*Tabela135366791023364962[[#This Row],[Número sessão/mês]])</f>
        <v>0</v>
      </c>
      <c r="G58" s="60"/>
      <c r="H58" s="61"/>
      <c r="I58" s="71"/>
      <c r="J58" s="72"/>
      <c r="K58" s="73"/>
      <c r="L58" s="72"/>
      <c r="M58" s="74"/>
      <c r="N58" s="74"/>
      <c r="O58" s="73"/>
      <c r="P58" s="72"/>
      <c r="Q58" s="74"/>
      <c r="R58" s="74"/>
    </row>
    <row r="59" spans="1:18" s="48" customFormat="1" ht="13" hidden="1" customHeight="1" outlineLevel="1" x14ac:dyDescent="0.3">
      <c r="A59" s="47"/>
      <c r="B59" s="140"/>
      <c r="C59" s="58" t="s">
        <v>100</v>
      </c>
      <c r="D59" s="59"/>
      <c r="E59" s="52"/>
      <c r="F59" s="102">
        <f>SUM(Tabela135366791023364962[[#This Row],[Valor cobrado por sessão]]*Tabela135366791023364962[[#This Row],[Número sessão/mês]])</f>
        <v>0</v>
      </c>
      <c r="G59" s="60"/>
      <c r="H59" s="61"/>
      <c r="I59" s="71"/>
      <c r="J59" s="72"/>
      <c r="K59" s="73"/>
      <c r="L59" s="72"/>
      <c r="M59" s="74"/>
      <c r="N59" s="74"/>
      <c r="O59" s="73"/>
      <c r="P59" s="72"/>
      <c r="Q59" s="74"/>
      <c r="R59" s="74"/>
    </row>
    <row r="60" spans="1:18" s="48" customFormat="1" ht="13" hidden="1" customHeight="1" outlineLevel="1" x14ac:dyDescent="0.3">
      <c r="A60" s="47"/>
      <c r="B60" s="140"/>
      <c r="C60" s="58" t="s">
        <v>101</v>
      </c>
      <c r="D60" s="59"/>
      <c r="E60" s="52"/>
      <c r="F60" s="102">
        <f>SUM(Tabela135366791023364962[[#This Row],[Valor cobrado por sessão]]*Tabela135366791023364962[[#This Row],[Número sessão/mês]])</f>
        <v>0</v>
      </c>
      <c r="G60" s="60"/>
      <c r="H60" s="61"/>
      <c r="I60" s="71"/>
      <c r="J60" s="72"/>
      <c r="K60" s="73"/>
      <c r="L60" s="72"/>
      <c r="M60" s="74"/>
      <c r="N60" s="74"/>
      <c r="O60" s="73"/>
      <c r="P60" s="72"/>
      <c r="Q60" s="74"/>
      <c r="R60" s="74"/>
    </row>
    <row r="61" spans="1:18" s="48" customFormat="1" ht="13" hidden="1" customHeight="1" outlineLevel="1" x14ac:dyDescent="0.3">
      <c r="A61" s="47"/>
      <c r="B61" s="140"/>
      <c r="C61" s="58" t="s">
        <v>102</v>
      </c>
      <c r="D61" s="59"/>
      <c r="E61" s="52"/>
      <c r="F61" s="102">
        <f>SUM(Tabela135366791023364962[[#This Row],[Valor cobrado por sessão]]*Tabela135366791023364962[[#This Row],[Número sessão/mês]])</f>
        <v>0</v>
      </c>
      <c r="G61" s="60"/>
      <c r="H61" s="61"/>
      <c r="I61" s="71"/>
      <c r="J61" s="72"/>
      <c r="K61" s="73"/>
      <c r="L61" s="72"/>
      <c r="M61" s="74"/>
      <c r="N61" s="74"/>
      <c r="O61" s="73"/>
      <c r="P61" s="72"/>
      <c r="Q61" s="74"/>
      <c r="R61" s="74"/>
    </row>
    <row r="62" spans="1:18" s="48" customFormat="1" ht="13" hidden="1" customHeight="1" outlineLevel="1" x14ac:dyDescent="0.3">
      <c r="A62" s="47"/>
      <c r="B62" s="140"/>
      <c r="C62" s="58" t="s">
        <v>103</v>
      </c>
      <c r="D62" s="59"/>
      <c r="E62" s="52"/>
      <c r="F62" s="102">
        <f>SUM(Tabela135366791023364962[[#This Row],[Valor cobrado por sessão]]*Tabela135366791023364962[[#This Row],[Número sessão/mês]])</f>
        <v>0</v>
      </c>
      <c r="G62" s="60"/>
      <c r="H62" s="61"/>
      <c r="I62" s="71"/>
      <c r="J62" s="72"/>
      <c r="K62" s="73"/>
      <c r="L62" s="72"/>
      <c r="M62" s="74"/>
      <c r="N62" s="74"/>
      <c r="O62" s="73"/>
      <c r="P62" s="72"/>
      <c r="Q62" s="74"/>
      <c r="R62" s="74"/>
    </row>
    <row r="63" spans="1:18" s="48" customFormat="1" ht="13" hidden="1" customHeight="1" outlineLevel="1" x14ac:dyDescent="0.3">
      <c r="A63" s="47"/>
      <c r="B63" s="140"/>
      <c r="C63" s="52" t="s">
        <v>104</v>
      </c>
      <c r="D63" s="52"/>
      <c r="E63" s="52"/>
      <c r="F63" s="102">
        <f>SUM(Tabela135366791023364962[[#This Row],[Valor cobrado por sessão]]*Tabela135366791023364962[[#This Row],[Número sessão/mês]])</f>
        <v>0</v>
      </c>
      <c r="G63" s="60"/>
      <c r="H63" s="61"/>
      <c r="I63" s="71"/>
      <c r="J63" s="72"/>
      <c r="K63" s="73"/>
      <c r="L63" s="72"/>
      <c r="M63" s="74"/>
      <c r="N63" s="74"/>
      <c r="O63" s="73"/>
      <c r="P63" s="72"/>
      <c r="Q63" s="74"/>
      <c r="R63" s="74"/>
    </row>
    <row r="64" spans="1:18" s="48" customFormat="1" ht="13" customHeight="1" collapsed="1" x14ac:dyDescent="0.3">
      <c r="A64" s="47"/>
      <c r="B64" s="140"/>
      <c r="C64" s="142" t="s">
        <v>48</v>
      </c>
      <c r="D64" s="143"/>
      <c r="E64" s="75"/>
      <c r="F64" s="76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9" s="48" customFormat="1" x14ac:dyDescent="0.3">
      <c r="A65" s="47"/>
      <c r="B65" s="140"/>
      <c r="C65" s="50" t="s">
        <v>48</v>
      </c>
      <c r="D65" s="51"/>
      <c r="E65" s="75"/>
      <c r="G65" s="80"/>
      <c r="H65" s="80"/>
    </row>
    <row r="66" spans="1:9" s="48" customFormat="1" ht="13" customHeight="1" x14ac:dyDescent="0.3">
      <c r="A66" s="47" t="s">
        <v>5</v>
      </c>
      <c r="B66" s="141"/>
      <c r="C66" s="103" t="s">
        <v>49</v>
      </c>
      <c r="D66" s="82"/>
      <c r="E66" s="105">
        <f>SUM(E32:E65)</f>
        <v>0</v>
      </c>
    </row>
    <row r="67" spans="1:9" s="48" customFormat="1" x14ac:dyDescent="0.3">
      <c r="A67" s="47"/>
      <c r="B67" s="84"/>
      <c r="C67" s="84"/>
      <c r="D67" s="84"/>
      <c r="E67" s="84"/>
    </row>
    <row r="68" spans="1:9" s="48" customFormat="1" x14ac:dyDescent="0.3">
      <c r="A68" s="47"/>
    </row>
    <row r="69" spans="1:9" ht="13" customHeight="1" x14ac:dyDescent="0.3">
      <c r="B69" s="123" t="s">
        <v>129</v>
      </c>
      <c r="C69" s="123"/>
      <c r="D69" s="123"/>
      <c r="E69" s="123"/>
      <c r="F69" s="123"/>
      <c r="G69" s="123"/>
      <c r="H69" s="123"/>
      <c r="I69" s="123"/>
    </row>
    <row r="70" spans="1:9" ht="13" customHeight="1" x14ac:dyDescent="0.3">
      <c r="B70" s="123"/>
      <c r="C70" s="123"/>
      <c r="D70" s="123"/>
      <c r="E70" s="123"/>
      <c r="F70" s="123"/>
      <c r="G70" s="123"/>
      <c r="H70" s="123"/>
      <c r="I70" s="123"/>
    </row>
    <row r="71" spans="1:9" s="7" customFormat="1" ht="16" customHeight="1" x14ac:dyDescent="0.25">
      <c r="A71" s="6"/>
    </row>
    <row r="72" spans="1:9" s="92" customFormat="1" ht="15" customHeight="1" x14ac:dyDescent="0.25">
      <c r="A72" s="90" t="s">
        <v>6</v>
      </c>
      <c r="B72" s="113" t="s">
        <v>14</v>
      </c>
      <c r="C72" s="91" t="s">
        <v>123</v>
      </c>
      <c r="E72" s="113" t="s">
        <v>50</v>
      </c>
      <c r="F72" s="91" t="s">
        <v>123</v>
      </c>
      <c r="H72" s="113" t="s">
        <v>68</v>
      </c>
      <c r="I72" s="91" t="s">
        <v>123</v>
      </c>
    </row>
    <row r="73" spans="1:9" s="94" customFormat="1" ht="15" customHeight="1" x14ac:dyDescent="0.25">
      <c r="A73" s="93"/>
      <c r="B73" s="7" t="str">
        <f>Moradia415467[[#This Row],[MORADIA]]</f>
        <v>Aluguel</v>
      </c>
      <c r="C73" s="95"/>
      <c r="E73" s="7" t="str">
        <f>Entretenimento425568[[#This Row],[ENTRETENIMENTO]]</f>
        <v>Balada/festa</v>
      </c>
      <c r="F73" s="96"/>
      <c r="H73" s="7" t="str">
        <f>Presentes496275[[#This Row],[PRESENTES E DOAÇÕES]]</f>
        <v>Instituição beneficente 1</v>
      </c>
      <c r="I73" s="95"/>
    </row>
    <row r="74" spans="1:9" s="94" customFormat="1" ht="15" customHeight="1" x14ac:dyDescent="0.25">
      <c r="A74" s="93"/>
      <c r="B74" s="7" t="str">
        <f>Moradia415467[[#This Row],[MORADIA]]</f>
        <v>Telefone</v>
      </c>
      <c r="C74" s="95"/>
      <c r="E74" s="7" t="str">
        <f>Entretenimento425568[[#This Row],[ENTRETENIMENTO]]</f>
        <v>Plataformas de música</v>
      </c>
      <c r="F74" s="96"/>
      <c r="H74" s="7" t="str">
        <f>Presentes496275[[#This Row],[PRESENTES E DOAÇÕES]]</f>
        <v>Instituição beneficente 2</v>
      </c>
      <c r="I74" s="95"/>
    </row>
    <row r="75" spans="1:9" s="94" customFormat="1" ht="15" customHeight="1" x14ac:dyDescent="0.25">
      <c r="A75" s="93"/>
      <c r="B75" s="7" t="str">
        <f>Moradia415467[[#This Row],[MORADIA]]</f>
        <v>Conta de luz</v>
      </c>
      <c r="C75" s="95"/>
      <c r="E75" s="7" t="str">
        <f>Entretenimento425568[[#This Row],[ENTRETENIMENTO]]</f>
        <v>Filmes</v>
      </c>
      <c r="F75" s="96"/>
      <c r="H75" s="7" t="str">
        <f>Presentes496275[[#This Row],[PRESENTES E DOAÇÕES]]</f>
        <v>Instituição beneficente 3</v>
      </c>
      <c r="I75" s="95"/>
    </row>
    <row r="76" spans="1:9" s="94" customFormat="1" ht="15" customHeight="1" x14ac:dyDescent="0.25">
      <c r="A76" s="93"/>
      <c r="B76" s="7" t="str">
        <f>Moradia415467[[#This Row],[MORADIA]]</f>
        <v>Gás</v>
      </c>
      <c r="C76" s="95"/>
      <c r="E76" s="7" t="str">
        <f>Entretenimento425568[[#This Row],[ENTRETENIMENTO]]</f>
        <v>Shows</v>
      </c>
      <c r="F76" s="96"/>
      <c r="H76" s="7" t="s">
        <v>24</v>
      </c>
      <c r="I76" s="95">
        <f>SUM(Presentes496275720334659[[Custo ]])</f>
        <v>0</v>
      </c>
    </row>
    <row r="77" spans="1:9" s="94" customFormat="1" ht="15" customHeight="1" x14ac:dyDescent="0.25">
      <c r="A77" s="93"/>
      <c r="B77" s="7" t="str">
        <f>Moradia415467[[#This Row],[MORADIA]]</f>
        <v>Água e esgoto</v>
      </c>
      <c r="C77" s="95"/>
      <c r="E77" s="7" t="str">
        <f>Entretenimento425568[[#This Row],[ENTRETENIMENTO]]</f>
        <v>Eventos esportivos</v>
      </c>
      <c r="F77" s="96"/>
      <c r="I77" s="95"/>
    </row>
    <row r="78" spans="1:9" s="94" customFormat="1" ht="15" customHeight="1" x14ac:dyDescent="0.25">
      <c r="A78" s="93"/>
      <c r="B78" s="7" t="str">
        <f>Moradia415467[[#This Row],[MORADIA]]</f>
        <v>TV a cabo</v>
      </c>
      <c r="C78" s="95"/>
      <c r="E78" s="7" t="str">
        <f>Entretenimento425568[[#This Row],[ENTRETENIMENTO]]</f>
        <v>Teatro ao vivo</v>
      </c>
      <c r="F78" s="96"/>
      <c r="H78" s="113" t="s">
        <v>72</v>
      </c>
      <c r="I78" s="91" t="s">
        <v>123</v>
      </c>
    </row>
    <row r="79" spans="1:9" s="94" customFormat="1" ht="15" customHeight="1" x14ac:dyDescent="0.25">
      <c r="A79" s="93"/>
      <c r="B79" s="7" t="str">
        <f>Moradia415467[[#This Row],[MORADIA]]</f>
        <v>Coleta de lixo</v>
      </c>
      <c r="C79" s="95"/>
      <c r="E79" s="7" t="str">
        <f>Entretenimento425568[[#This Row],[ENTRETENIMENTO]]</f>
        <v>Outros</v>
      </c>
      <c r="F79" s="96"/>
      <c r="H79" s="7" t="str">
        <f>Assessoria_jurídica516477[[#This Row],[ASSESSORIA JURÍDICA]]</f>
        <v>Advogado</v>
      </c>
      <c r="I79" s="95"/>
    </row>
    <row r="80" spans="1:9" s="94" customFormat="1" ht="15" customHeight="1" x14ac:dyDescent="0.25">
      <c r="A80" s="93"/>
      <c r="B80" s="7" t="str">
        <f>Moradia415467[[#This Row],[MORADIA]]</f>
        <v>Manutenção ou reparos</v>
      </c>
      <c r="C80" s="95"/>
      <c r="E80" s="7" t="str">
        <f>Entretenimento425568[[#This Row],[ENTRETENIMENTO]]</f>
        <v>Outros</v>
      </c>
      <c r="F80" s="96"/>
      <c r="H80" s="7" t="str">
        <f>Assessoria_jurídica516477[[#This Row],[ASSESSORIA JURÍDICA]]</f>
        <v>Pensão alimentícia</v>
      </c>
      <c r="I80" s="95"/>
    </row>
    <row r="81" spans="1:9" s="94" customFormat="1" ht="15" customHeight="1" x14ac:dyDescent="0.25">
      <c r="A81" s="93"/>
      <c r="B81" s="7" t="str">
        <f>Moradia415467[[#This Row],[MORADIA]]</f>
        <v>Suprimentos</v>
      </c>
      <c r="C81" s="95"/>
      <c r="E81" s="7" t="str">
        <f>Entretenimento425568[[#This Row],[ENTRETENIMENTO]]</f>
        <v>Outros</v>
      </c>
      <c r="F81" s="96"/>
      <c r="H81" s="7" t="str">
        <f>Assessoria_jurídica516477[[#This Row],[ASSESSORIA JURÍDICA]]</f>
        <v>Pagamentos em garantia ou julgamento</v>
      </c>
      <c r="I81" s="95"/>
    </row>
    <row r="82" spans="1:9" s="94" customFormat="1" ht="15" customHeight="1" x14ac:dyDescent="0.25">
      <c r="A82" s="93"/>
      <c r="B82" s="7" t="str">
        <f>Moradia415467[[#This Row],[MORADIA]]</f>
        <v>Outros</v>
      </c>
      <c r="C82" s="95"/>
      <c r="E82" s="7" t="str">
        <f>Entretenimento425568[[#This Row],[ENTRETENIMENTO]]</f>
        <v>Outros</v>
      </c>
      <c r="F82" s="96"/>
      <c r="H82" s="7" t="str">
        <f>Assessoria_jurídica516477[[#This Row],[ASSESSORIA JURÍDICA]]</f>
        <v>Outros</v>
      </c>
      <c r="I82" s="95"/>
    </row>
    <row r="83" spans="1:9" s="94" customFormat="1" ht="15" customHeight="1" x14ac:dyDescent="0.25">
      <c r="A83" s="93"/>
      <c r="B83" s="7" t="s">
        <v>24</v>
      </c>
      <c r="C83" s="95">
        <f>SUM(Moradia415467215284154[[Custo ]])</f>
        <v>0</v>
      </c>
      <c r="E83" s="7" t="s">
        <v>24</v>
      </c>
      <c r="F83" s="96">
        <f>SUM(Entretenimento425568316294255[[Custo ]])</f>
        <v>0</v>
      </c>
      <c r="H83" s="7" t="s">
        <v>24</v>
      </c>
      <c r="I83" s="95">
        <f>SUM(Assessoria_jurídica516477922354861[[Custo ]])</f>
        <v>0</v>
      </c>
    </row>
    <row r="84" spans="1:9" s="94" customFormat="1" ht="15" customHeight="1" x14ac:dyDescent="0.25">
      <c r="A84" s="93"/>
      <c r="C84" s="92"/>
      <c r="F84" s="96"/>
      <c r="I84" s="95"/>
    </row>
    <row r="85" spans="1:9" s="92" customFormat="1" ht="15" customHeight="1" x14ac:dyDescent="0.25">
      <c r="A85" s="90" t="s">
        <v>7</v>
      </c>
      <c r="B85" s="113" t="s">
        <v>25</v>
      </c>
      <c r="C85" s="91" t="s">
        <v>123</v>
      </c>
      <c r="E85" s="113" t="s">
        <v>44</v>
      </c>
      <c r="F85" s="91" t="s">
        <v>123</v>
      </c>
      <c r="H85" s="113" t="s">
        <v>39</v>
      </c>
      <c r="I85" s="91" t="s">
        <v>123</v>
      </c>
    </row>
    <row r="86" spans="1:9" s="94" customFormat="1" ht="15" customHeight="1" x14ac:dyDescent="0.25">
      <c r="A86" s="93"/>
      <c r="B86" s="7" t="str">
        <f>Transporte445770[[#This Row],[TRANSPORTE]]</f>
        <v>Pagamento do veículo</v>
      </c>
      <c r="C86" s="95"/>
      <c r="E86" s="7" t="str">
        <f>CuidadosPessoais526578241[[#This Row],[CUIDADOS PESSOAIS]]</f>
        <v>Médico</v>
      </c>
      <c r="F86" s="95"/>
      <c r="H86" s="7" t="str">
        <f>Animais_de_estimação506376[[#This Row],[ANIMAIS DE ESTIMAÇÃO]]</f>
        <v>Alimentação</v>
      </c>
      <c r="I86" s="95"/>
    </row>
    <row r="87" spans="1:9" s="94" customFormat="1" ht="15" customHeight="1" x14ac:dyDescent="0.25">
      <c r="A87" s="93"/>
      <c r="B87" s="7" t="str">
        <f>Transporte445770[[#This Row],[TRANSPORTE]]</f>
        <v>Transporte público/táxi</v>
      </c>
      <c r="C87" s="95"/>
      <c r="E87" s="7" t="str">
        <f>CuidadosPessoais526578241[[#This Row],[CUIDADOS PESSOAIS]]</f>
        <v>Cabelo/unhas</v>
      </c>
      <c r="F87" s="95"/>
      <c r="H87" s="7" t="str">
        <f>Animais_de_estimação506376[[#This Row],[ANIMAIS DE ESTIMAÇÃO]]</f>
        <v>Médico</v>
      </c>
      <c r="I87" s="95"/>
    </row>
    <row r="88" spans="1:9" s="94" customFormat="1" ht="15" customHeight="1" x14ac:dyDescent="0.25">
      <c r="A88" s="93"/>
      <c r="B88" s="7" t="str">
        <f>Transporte445770[[#This Row],[TRANSPORTE]]</f>
        <v>Seguro</v>
      </c>
      <c r="C88" s="95"/>
      <c r="E88" s="7" t="str">
        <f>CuidadosPessoais526578241[[#This Row],[CUIDADOS PESSOAIS]]</f>
        <v>Vestuário</v>
      </c>
      <c r="F88" s="95"/>
      <c r="H88" s="7" t="str">
        <f>Animais_de_estimação506376[[#This Row],[ANIMAIS DE ESTIMAÇÃO]]</f>
        <v>Banho e tosa</v>
      </c>
      <c r="I88" s="95"/>
    </row>
    <row r="89" spans="1:9" s="94" customFormat="1" ht="15" customHeight="1" x14ac:dyDescent="0.25">
      <c r="A89" s="93"/>
      <c r="B89" s="7" t="str">
        <f>Transporte445770[[#This Row],[TRANSPORTE]]</f>
        <v>Licenciamento</v>
      </c>
      <c r="C89" s="95"/>
      <c r="E89" s="7" t="str">
        <f>CuidadosPessoais526578241[[#This Row],[CUIDADOS PESSOAIS]]</f>
        <v>Cosméticos</v>
      </c>
      <c r="F89" s="95"/>
      <c r="H89" s="7" t="str">
        <f>Animais_de_estimação506376[[#This Row],[ANIMAIS DE ESTIMAÇÃO]]</f>
        <v>Brinquedos</v>
      </c>
      <c r="I89" s="95"/>
    </row>
    <row r="90" spans="1:9" s="94" customFormat="1" ht="15" customHeight="1" x14ac:dyDescent="0.25">
      <c r="A90" s="93"/>
      <c r="B90" s="7" t="str">
        <f>Transporte445770[[#This Row],[TRANSPORTE]]</f>
        <v>Combustível</v>
      </c>
      <c r="C90" s="95"/>
      <c r="E90" s="7" t="str">
        <f>CuidadosPessoais526578241[[#This Row],[CUIDADOS PESSOAIS]]</f>
        <v>Academia</v>
      </c>
      <c r="F90" s="95"/>
      <c r="H90" s="7" t="str">
        <f>Animais_de_estimação506376[[#This Row],[ANIMAIS DE ESTIMAÇÃO]]</f>
        <v>Outros</v>
      </c>
      <c r="I90" s="95"/>
    </row>
    <row r="91" spans="1:9" s="94" customFormat="1" ht="15" customHeight="1" x14ac:dyDescent="0.25">
      <c r="A91" s="93"/>
      <c r="B91" s="7" t="str">
        <f>Transporte445770[[#This Row],[TRANSPORTE]]</f>
        <v>Manutenção</v>
      </c>
      <c r="C91" s="95"/>
      <c r="E91" s="7" t="str">
        <f>CuidadosPessoais526578241[[#This Row],[CUIDADOS PESSOAIS]]</f>
        <v>Compras extra</v>
      </c>
      <c r="F91" s="95"/>
      <c r="H91" s="7" t="s">
        <v>24</v>
      </c>
      <c r="I91" s="95">
        <f>SUM(Animais_de_estimação506376821344760[[Custo ]])</f>
        <v>0</v>
      </c>
    </row>
    <row r="92" spans="1:9" s="94" customFormat="1" ht="15" customHeight="1" x14ac:dyDescent="0.25">
      <c r="A92" s="93"/>
      <c r="B92" s="7" t="str">
        <f>Transporte445770[[#This Row],[TRANSPORTE]]</f>
        <v>Outros</v>
      </c>
      <c r="C92" s="95"/>
      <c r="E92" s="7" t="str">
        <f>CuidadosPessoais526578241[[#This Row],[CUIDADOS PESSOAIS]]</f>
        <v>Outros</v>
      </c>
      <c r="F92" s="95"/>
      <c r="I92" s="95"/>
    </row>
    <row r="93" spans="1:9" s="94" customFormat="1" ht="15" customHeight="1" x14ac:dyDescent="0.25">
      <c r="A93" s="93"/>
      <c r="B93" s="7" t="s">
        <v>24</v>
      </c>
      <c r="C93" s="95">
        <f>SUM(Transporte445770417304356[[Custo ]])</f>
        <v>0</v>
      </c>
      <c r="E93" s="7" t="str">
        <f>CuidadosPessoais526578241[[#This Row],[CUIDADOS PESSOAIS]]</f>
        <v>Outros</v>
      </c>
      <c r="F93" s="95"/>
      <c r="H93" s="113" t="s">
        <v>57</v>
      </c>
      <c r="I93" s="91" t="s">
        <v>123</v>
      </c>
    </row>
    <row r="94" spans="1:9" s="94" customFormat="1" ht="15" customHeight="1" x14ac:dyDescent="0.25">
      <c r="A94" s="93"/>
      <c r="C94" s="92"/>
      <c r="E94" s="7" t="str">
        <f>CuidadosPessoais526578241[[#This Row],[CUIDADOS PESSOAIS]]</f>
        <v>Outros</v>
      </c>
      <c r="F94" s="95"/>
      <c r="H94" s="7" t="str">
        <f>Empréstimos435669[[#This Row],[EMPRÉSTIMOS]]</f>
        <v>Pessoal</v>
      </c>
      <c r="I94" s="96"/>
    </row>
    <row r="95" spans="1:9" s="92" customFormat="1" ht="15" customHeight="1" x14ac:dyDescent="0.25">
      <c r="A95" s="90" t="s">
        <v>8</v>
      </c>
      <c r="B95" s="113" t="s">
        <v>32</v>
      </c>
      <c r="C95" s="91" t="s">
        <v>123</v>
      </c>
      <c r="E95" s="7" t="str">
        <f>CuidadosPessoais526578241[[#This Row],[CUIDADOS PESSOAIS]]</f>
        <v>Outros</v>
      </c>
      <c r="F95" s="95"/>
      <c r="H95" s="7" t="str">
        <f>Empréstimos435669[[#This Row],[EMPRÉSTIMOS]]</f>
        <v>Estudante</v>
      </c>
      <c r="I95" s="96"/>
    </row>
    <row r="96" spans="1:9" s="94" customFormat="1" ht="15" customHeight="1" x14ac:dyDescent="0.25">
      <c r="A96" s="93"/>
      <c r="B96" s="7" t="str">
        <f>Seguro455871[[#This Row],[SEGURO]]</f>
        <v>Residencial</v>
      </c>
      <c r="C96" s="95"/>
      <c r="E96" s="7" t="str">
        <f>CuidadosPessoais526578241[[#This Row],[CUIDADOS PESSOAIS]]</f>
        <v>Outros</v>
      </c>
      <c r="F96" s="95"/>
      <c r="H96" s="7" t="str">
        <f>Empréstimos435669[[#This Row],[EMPRÉSTIMOS]]</f>
        <v>Cartão de crédito</v>
      </c>
      <c r="I96" s="96"/>
    </row>
    <row r="97" spans="1:9" s="94" customFormat="1" ht="15" customHeight="1" x14ac:dyDescent="0.25">
      <c r="A97" s="93"/>
      <c r="B97" s="7" t="str">
        <f>Seguro455871[[#This Row],[SEGURO]]</f>
        <v>Saúde</v>
      </c>
      <c r="C97" s="95"/>
      <c r="E97" s="7" t="str">
        <f>CuidadosPessoais526578241[[#This Row],[CUIDADOS PESSOAIS]]</f>
        <v>Outros</v>
      </c>
      <c r="F97" s="95"/>
      <c r="H97" s="7" t="str">
        <f>Empréstimos435669[[#This Row],[EMPRÉSTIMOS]]</f>
        <v>Cartão de crédito</v>
      </c>
      <c r="I97" s="96"/>
    </row>
    <row r="98" spans="1:9" s="94" customFormat="1" ht="15" customHeight="1" x14ac:dyDescent="0.25">
      <c r="A98" s="93"/>
      <c r="B98" s="7" t="str">
        <f>Seguro455871[[#This Row],[SEGURO]]</f>
        <v>Vida</v>
      </c>
      <c r="C98" s="95"/>
      <c r="E98" s="7" t="str">
        <f>CuidadosPessoais526578241[[#This Row],[CUIDADOS PESSOAIS]]</f>
        <v>Outros</v>
      </c>
      <c r="F98" s="95"/>
      <c r="H98" s="7" t="str">
        <f>Empréstimos435669[[#This Row],[EMPRÉSTIMOS]]</f>
        <v>Cartão de crédito</v>
      </c>
      <c r="I98" s="96"/>
    </row>
    <row r="99" spans="1:9" s="94" customFormat="1" ht="15" customHeight="1" x14ac:dyDescent="0.25">
      <c r="A99" s="93"/>
      <c r="B99" s="7" t="str">
        <f>Seguro455871[[#This Row],[SEGURO]]</f>
        <v>Outros</v>
      </c>
      <c r="C99" s="95"/>
      <c r="E99" s="7" t="str">
        <f>CuidadosPessoais526578241[[#This Row],[CUIDADOS PESSOAIS]]</f>
        <v>Outros</v>
      </c>
      <c r="F99" s="95"/>
      <c r="H99" s="7" t="str">
        <f>Empréstimos435669[[#This Row],[EMPRÉSTIMOS]]</f>
        <v>Outros</v>
      </c>
      <c r="I99" s="96"/>
    </row>
    <row r="100" spans="1:9" s="94" customFormat="1" ht="15" customHeight="1" x14ac:dyDescent="0.25">
      <c r="A100" s="93"/>
      <c r="B100" s="7" t="s">
        <v>24</v>
      </c>
      <c r="C100" s="95">
        <f>SUM(Seguro455871518314457[[Custo ]])</f>
        <v>0</v>
      </c>
      <c r="E100" s="7" t="s">
        <v>24</v>
      </c>
      <c r="F100" s="95">
        <f>SUM(CuidadosPessoais5265782411427405366[[Custo ]])</f>
        <v>0</v>
      </c>
      <c r="H100" s="7" t="s">
        <v>24</v>
      </c>
      <c r="I100" s="96">
        <f>SUM(Empréstimos4356691225385164[[Custo ]])</f>
        <v>0</v>
      </c>
    </row>
    <row r="101" spans="1:9" s="94" customFormat="1" ht="18" customHeight="1" x14ac:dyDescent="0.25">
      <c r="A101" s="93"/>
      <c r="C101" s="92"/>
      <c r="F101" s="96"/>
    </row>
    <row r="102" spans="1:9" s="94" customFormat="1" ht="27.5" customHeight="1" x14ac:dyDescent="0.25">
      <c r="A102" s="93" t="s">
        <v>9</v>
      </c>
      <c r="B102" s="113" t="s">
        <v>36</v>
      </c>
      <c r="C102" s="91" t="s">
        <v>123</v>
      </c>
      <c r="E102" s="114" t="s">
        <v>65</v>
      </c>
      <c r="F102" s="98" t="s">
        <v>123</v>
      </c>
      <c r="H102" s="113" t="s">
        <v>61</v>
      </c>
      <c r="I102" s="91" t="s">
        <v>123</v>
      </c>
    </row>
    <row r="103" spans="1:9" s="94" customFormat="1" ht="15.5" customHeight="1" x14ac:dyDescent="0.25">
      <c r="A103" s="93"/>
      <c r="B103" s="7" t="str">
        <f>Alimentação486174[[#This Row],[ALIMENTAÇÃO]]</f>
        <v>Supermercado</v>
      </c>
      <c r="C103" s="95"/>
      <c r="E103" s="7" t="str">
        <f>Poupança476073236[[#This Row],[POUPANÇAS OU INVESTIMENTOS]]</f>
        <v>Aposentadoria</v>
      </c>
      <c r="F103" s="96"/>
      <c r="H103" s="7" t="str">
        <f>Impostos465972[[#This Row],[IMPOSTOS]]</f>
        <v>Federal</v>
      </c>
      <c r="I103" s="96"/>
    </row>
    <row r="104" spans="1:9" s="94" customFormat="1" ht="15" customHeight="1" x14ac:dyDescent="0.25">
      <c r="A104" s="93"/>
      <c r="B104" s="7" t="str">
        <f>Alimentação486174[[#This Row],[ALIMENTAÇÃO]]</f>
        <v>Almoço fora</v>
      </c>
      <c r="C104" s="95"/>
      <c r="E104" s="7" t="str">
        <f>Poupança476073236[[#This Row],[POUPANÇAS OU INVESTIMENTOS]]</f>
        <v>Investimentos</v>
      </c>
      <c r="F104" s="96"/>
      <c r="H104" s="7" t="str">
        <f>Impostos465972[[#This Row],[IMPOSTOS]]</f>
        <v>Estadual</v>
      </c>
      <c r="I104" s="96"/>
    </row>
    <row r="105" spans="1:9" s="94" customFormat="1" ht="15" customHeight="1" x14ac:dyDescent="0.25">
      <c r="A105" s="93"/>
      <c r="B105" s="7" t="str">
        <f>Alimentação486174[[#This Row],[ALIMENTAÇÃO]]</f>
        <v>Jantar fora</v>
      </c>
      <c r="C105" s="95"/>
      <c r="E105" s="7" t="str">
        <f>Poupança476073236[[#This Row],[POUPANÇAS OU INVESTIMENTOS]]</f>
        <v>Outros</v>
      </c>
      <c r="F105" s="96"/>
      <c r="H105" s="7" t="str">
        <f>Impostos465972[[#This Row],[IMPOSTOS]]</f>
        <v>Local</v>
      </c>
      <c r="I105" s="96"/>
    </row>
    <row r="106" spans="1:9" s="94" customFormat="1" ht="15" customHeight="1" x14ac:dyDescent="0.25">
      <c r="A106" s="93"/>
      <c r="B106" s="7" t="str">
        <f>Alimentação486174[[#This Row],[ALIMENTAÇÃO]]</f>
        <v>Padaria/lanche</v>
      </c>
      <c r="C106" s="95"/>
      <c r="E106" s="7" t="str">
        <f>Poupança476073236[[#This Row],[POUPANÇAS OU INVESTIMENTOS]]</f>
        <v>Outros</v>
      </c>
      <c r="F106" s="96"/>
      <c r="H106" s="7" t="str">
        <f>Impostos465972[[#This Row],[IMPOSTOS]]</f>
        <v>Outros</v>
      </c>
      <c r="I106" s="96"/>
    </row>
    <row r="107" spans="1:9" s="48" customFormat="1" x14ac:dyDescent="0.3">
      <c r="A107" s="47"/>
      <c r="B107" s="7" t="str">
        <f>Alimentação486174[[#This Row],[ALIMENTAÇÃO]]</f>
        <v>Outros</v>
      </c>
      <c r="C107" s="95"/>
      <c r="D107" s="49"/>
      <c r="E107" s="7" t="str">
        <f>Poupança476073236[[#This Row],[POUPANÇAS OU INVESTIMENTOS]]</f>
        <v>Outros</v>
      </c>
      <c r="F107" s="96"/>
      <c r="G107" s="49"/>
      <c r="H107" s="7" t="s">
        <v>24</v>
      </c>
      <c r="I107" s="96">
        <f>SUM(Impostos4659721326395265[[Custo ]])</f>
        <v>0</v>
      </c>
    </row>
    <row r="108" spans="1:9" s="48" customFormat="1" x14ac:dyDescent="0.3">
      <c r="A108" s="47" t="s">
        <v>10</v>
      </c>
      <c r="B108" s="7" t="s">
        <v>24</v>
      </c>
      <c r="C108" s="95">
        <f>SUM(Alimentação486174619324558[[Custo ]])</f>
        <v>0</v>
      </c>
      <c r="E108" s="7" t="s">
        <v>24</v>
      </c>
      <c r="F108" s="96">
        <f>SUM(Poupança4760732361124375063[[Custo ]])</f>
        <v>0</v>
      </c>
    </row>
    <row r="109" spans="1:9" x14ac:dyDescent="0.3">
      <c r="B109" s="4"/>
      <c r="C109" s="4"/>
    </row>
    <row r="110" spans="1:9" x14ac:dyDescent="0.3">
      <c r="E110" s="4"/>
    </row>
    <row r="111" spans="1:9" x14ac:dyDescent="0.3">
      <c r="G111" s="4"/>
    </row>
    <row r="115" spans="1:5" x14ac:dyDescent="0.3">
      <c r="D115" s="4"/>
    </row>
    <row r="116" spans="1:5" x14ac:dyDescent="0.3">
      <c r="A116" s="3" t="s">
        <v>11</v>
      </c>
    </row>
    <row r="118" spans="1:5" x14ac:dyDescent="0.3">
      <c r="E118" s="4"/>
    </row>
    <row r="119" spans="1:5" x14ac:dyDescent="0.3">
      <c r="A119" s="3" t="s">
        <v>12</v>
      </c>
    </row>
  </sheetData>
  <sheetProtection algorithmName="SHA-512" hashValue="jYOgxOP7udf0D9yua9Su72DJ3Xtl0eUg0YpMdeR0M2Qa1FNlHTXN6zCEGDoMDtInIJckKC+RLb4GzIl8uwY75Q==" saltValue="p5DVXMVbL0zWMMZcvyBAVw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hFpS8kK9UYo8a4OYn5+oaRr1bp2yypcR3pLxbZDpvQpr6Jk/OMUHLO3xVKz+nNtXHbRozMf8BKi7bQmpQ4XZ9w==" saltValue="gvxVemUsYgYCnh/DvIHieQ==" spinCount="100000" sqref="B73:B83" name="moradiameses"/>
    <protectedRange algorithmName="SHA-512" hashValue="qD5H/eqSs5U7VVz5nC79Ck4RHrXCpbb0VNn5dZm+iuqn8AFqgpam7H2uu/RE0b9McE3cxmi3npHbbIf2J1ihVw==" saltValue="qs5QJpA2vyDw3qNHW4xjuA==" spinCount="100000" sqref="A8:XFD28" name="Intervalo1"/>
    <protectedRange algorithmName="SHA-512" hashValue="qD5H/eqSs5U7VVz5nC79Ck4RHrXCpbb0VNn5dZm+iuqn8AFqgpam7H2uu/RE0b9McE3cxmi3npHbbIf2J1ihVw==" saltValue="qs5QJpA2vyDw3qNHW4xjuA==" spinCount="100000" sqref="A5:XFD7" name="Intervalo1_4"/>
    <protectedRange algorithmName="SHA-512" hashValue="qD5H/eqSs5U7VVz5nC79Ck4RHrXCpbb0VNn5dZm+iuqn8AFqgpam7H2uu/RE0b9McE3cxmi3npHbbIf2J1ihVw==" saltValue="qs5QJpA2vyDw3qNHW4xjuA==" spinCount="100000" sqref="C1:D1 E4:F4 G1:XFD4 E1:F2 A1:A4 B1:B2 B4" name="Intervalo1_3_1"/>
    <protectedRange algorithmName="SHA-512" hashValue="qD5H/eqSs5U7VVz5nC79Ck4RHrXCpbb0VNn5dZm+iuqn8AFqgpam7H2uu/RE0b9McE3cxmi3npHbbIf2J1ihVw==" saltValue="qs5QJpA2vyDw3qNHW4xjuA==" spinCount="100000" sqref="B3 C4" name="Intervalo1_1_2_1"/>
  </protectedRanges>
  <dataConsolidate>
    <dataRefs count="1">
      <dataRef ref="B6" sheet="Jan" r:id="rId1"/>
    </dataRefs>
  </dataConsolidate>
  <mergeCells count="28">
    <mergeCell ref="B2:I2"/>
    <mergeCell ref="B3:I3"/>
    <mergeCell ref="A6:A7"/>
    <mergeCell ref="B69:I70"/>
    <mergeCell ref="C25:D25"/>
    <mergeCell ref="B29:I30"/>
    <mergeCell ref="B32:B66"/>
    <mergeCell ref="C33:D33"/>
    <mergeCell ref="I33:R33"/>
    <mergeCell ref="C64:D64"/>
    <mergeCell ref="C24:D24"/>
    <mergeCell ref="C13:D13"/>
    <mergeCell ref="C14:D14"/>
    <mergeCell ref="C15:D15"/>
    <mergeCell ref="C16:D16"/>
    <mergeCell ref="C17:D17"/>
    <mergeCell ref="C23:D23"/>
    <mergeCell ref="C12:D12"/>
    <mergeCell ref="B6:I7"/>
    <mergeCell ref="C9:D9"/>
    <mergeCell ref="B10:B11"/>
    <mergeCell ref="C10:D11"/>
    <mergeCell ref="E10:E11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R35:R64 P35:P64 N35:N64 L35:L64 J35:J64" xr:uid="{27226272-A578-47A9-B7F3-21B1319CB4A5}">
      <formula1>$J$35:$J$36</formula1>
    </dataValidation>
  </dataValidations>
  <hyperlinks>
    <hyperlink ref="B3" r:id="rId2" xr:uid="{9C0D8A78-5B6B-450C-9D4B-DDA4782F7FA7}"/>
  </hyperlinks>
  <printOptions horizontalCentered="1"/>
  <pageMargins left="0.4" right="0.4" top="0.4" bottom="0.4" header="0.3" footer="0.3"/>
  <pageSetup paperSize="9" scale="64" fitToHeight="0" orientation="portrait" r:id="rId3"/>
  <headerFooter differentFirst="1">
    <oddFooter>Page &amp;P of &amp;N</oddFooter>
  </headerFooter>
  <drawing r:id="rId4"/>
  <tableParts count="13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INÍCIO</vt:lpstr>
      <vt:lpstr>RESUMO</vt:lpstr>
      <vt:lpstr>Gráficos por Categoria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2023-07-31T14:01:54Z</dcterms:created>
  <dcterms:modified xsi:type="dcterms:W3CDTF">2023-08-02T21:08:15Z</dcterms:modified>
</cp:coreProperties>
</file>